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_건설관리처_전수빈\#심사자료\PQ양식_수정\"/>
    </mc:Choice>
  </mc:AlternateContent>
  <xr:revisionPtr revIDLastSave="0" documentId="8_{C37A66C0-A18F-4137-B4F8-232A490565E7}" xr6:coauthVersionLast="36" xr6:coauthVersionMax="36" xr10:uidLastSave="{00000000-0000-0000-0000-000000000000}"/>
  <bookViews>
    <workbookView xWindow="0" yWindow="0" windowWidth="1980" windowHeight="1200" tabRatio="905" firstSheet="1" activeTab="1" xr2:uid="{00000000-000D-0000-FFFF-FFFF00000000}"/>
  </bookViews>
  <sheets>
    <sheet name="작성안함_입찰참가자격(5년간_실적집계표)" sheetId="251" state="hidden" r:id="rId1"/>
    <sheet name="작성요령" sheetId="259" r:id="rId2"/>
    <sheet name="참여감리원 현황" sheetId="267" r:id="rId3"/>
    <sheet name="참여신청서" sheetId="233" r:id="rId4"/>
    <sheet name="자기평가서" sheetId="235" r:id="rId5"/>
    <sheet name="참여감리원" sheetId="261" r:id="rId6"/>
    <sheet name="유사용역수행실적" sheetId="269" r:id="rId7"/>
    <sheet name="신용도" sheetId="271" r:id="rId8"/>
    <sheet name="기술개발 및 투자실적" sheetId="260" r:id="rId9"/>
    <sheet name="업무중첩도" sheetId="248" r:id="rId10"/>
    <sheet name="교체빈도" sheetId="249" r:id="rId11"/>
    <sheet name="작업기법" sheetId="268" r:id="rId12"/>
    <sheet name="가감점" sheetId="250" r:id="rId13"/>
    <sheet name="(양식8-1)재정상태건실도" sheetId="245" state="hidden" r:id="rId14"/>
    <sheet name="(별표1)유사용역 인정범위" sheetId="272" r:id="rId15"/>
    <sheet name="(별표2)재정상태검토보고서" sheetId="258" r:id="rId16"/>
  </sheets>
  <externalReferences>
    <externalReference r:id="rId17"/>
    <externalReference r:id="rId18"/>
    <externalReference r:id="rId19"/>
    <externalReference r:id="rId20"/>
  </externalReferences>
  <definedNames>
    <definedName name="_xlnm.Print_Area" localSheetId="13">'(양식8-1)재정상태건실도'!$A$1:$D$20</definedName>
    <definedName name="_xlnm.Print_Area" localSheetId="12">가감점!$A$1:$I$52</definedName>
    <definedName name="_xlnm.Print_Area" localSheetId="10">교체빈도!$A$1:$L$27</definedName>
    <definedName name="_xlnm.Print_Area" localSheetId="8">'기술개발 및 투자실적'!$A$1:$N$49</definedName>
    <definedName name="_xlnm.Print_Area" localSheetId="7">신용도!$A$1:$M$37</definedName>
    <definedName name="_xlnm.Print_Area" localSheetId="9">업무중첩도!$A$1:$L$23</definedName>
    <definedName name="_xlnm.Print_Area" localSheetId="6">유사용역수행실적!$A$1:$P$125</definedName>
    <definedName name="_xlnm.Print_Area" localSheetId="4">자기평가서!$B$1:$O$60</definedName>
    <definedName name="_xlnm.Print_Area" localSheetId="1">작성요령!$A$1:$Y$25</definedName>
    <definedName name="_xlnm.Print_Area" localSheetId="11">작업기법!$A$1:$H$14</definedName>
    <definedName name="_xlnm.Print_Area" localSheetId="5">참여감리원!$A$1:$Q$184</definedName>
    <definedName name="_xlnm.Print_Area" localSheetId="2">'참여감리원 현황'!$A$1:$I$12</definedName>
    <definedName name="_xlnm.Print_Area" localSheetId="3">참여신청서!$A$1:$H$33</definedName>
    <definedName name="_xlnm.Print_Titles" localSheetId="4">자기평가서!$3:$3</definedName>
    <definedName name="Z_3C925556_11AB_420F_9574_511192FFD696_.wvu.PrintArea" localSheetId="13" hidden="1">'(양식8-1)재정상태건실도'!$A$1:$D$19</definedName>
    <definedName name="Z_3C925556_11AB_420F_9574_511192FFD696_.wvu.PrintArea" localSheetId="12" hidden="1">가감점!$B$1:$G$50</definedName>
    <definedName name="Z_3C925556_11AB_420F_9574_511192FFD696_.wvu.PrintArea" localSheetId="10" hidden="1">교체빈도!$B$1:$K$26</definedName>
    <definedName name="Z_3C925556_11AB_420F_9574_511192FFD696_.wvu.PrintArea" localSheetId="9" hidden="1">업무중첩도!$C$1:$K$27</definedName>
    <definedName name="Z_3C925556_11AB_420F_9574_511192FFD696_.wvu.PrintArea" localSheetId="6" hidden="1">유사용역수행실적!#REF!</definedName>
    <definedName name="Z_3C925556_11AB_420F_9574_511192FFD696_.wvu.PrintArea" localSheetId="4" hidden="1">자기평가서!$B$1:$O$60</definedName>
    <definedName name="Z_3C925556_11AB_420F_9574_511192FFD696_.wvu.PrintArea" localSheetId="1" hidden="1">작성요령!$A$1:$O$42</definedName>
    <definedName name="Z_3C925556_11AB_420F_9574_511192FFD696_.wvu.PrintArea" localSheetId="3" hidden="1">참여신청서!$A$1:$H$32</definedName>
    <definedName name="책임기술자" localSheetId="8">'[1]자격,등급'!$N$8:$P$8</definedName>
    <definedName name="책임기술자" localSheetId="7">'[2]자격,등급'!$N$8:$P$8</definedName>
    <definedName name="책임기술자" localSheetId="2">'[3]자격,등급'!$N$8:$P$8</definedName>
    <definedName name="책임기술자">'[4]자격,등급'!$N$8:$P$8</definedName>
  </definedNames>
  <calcPr calcId="191029"/>
  <customWorkbookViews>
    <customWorkbookView name="초안" guid="{3C925556-11AB-420F-9574-511192FFD696}" maximized="1" xWindow="-8" yWindow="-8" windowWidth="1936" windowHeight="1056" tabRatio="905" activeSheetId="259"/>
  </customWorkbookViews>
</workbook>
</file>

<file path=xl/calcChain.xml><?xml version="1.0" encoding="utf-8"?>
<calcChain xmlns="http://schemas.openxmlformats.org/spreadsheetml/2006/main">
  <c r="F14" i="250" l="1"/>
  <c r="J58" i="235" l="1"/>
  <c r="N25" i="261" l="1"/>
  <c r="M35" i="235" l="1"/>
  <c r="M16" i="260" l="1"/>
  <c r="M27" i="235" s="1"/>
  <c r="L47" i="235" l="1"/>
  <c r="L48" i="235"/>
  <c r="I9" i="248" l="1"/>
  <c r="I8" i="248"/>
  <c r="L35" i="235" s="1"/>
  <c r="M17" i="259" l="1"/>
  <c r="X21" i="259" l="1"/>
  <c r="P170" i="261" l="1"/>
  <c r="P169" i="261"/>
  <c r="P168" i="261"/>
  <c r="P167" i="261"/>
  <c r="P166" i="261"/>
  <c r="P165" i="261"/>
  <c r="P164" i="261"/>
  <c r="P163" i="261"/>
  <c r="P162" i="261"/>
  <c r="P161" i="261"/>
  <c r="P159" i="261"/>
  <c r="P158" i="261"/>
  <c r="P157" i="261"/>
  <c r="P156" i="261"/>
  <c r="P155" i="261"/>
  <c r="P154" i="261"/>
  <c r="P153" i="261"/>
  <c r="P152" i="261"/>
  <c r="P151" i="261"/>
  <c r="P150" i="261"/>
  <c r="P143" i="261"/>
  <c r="P142" i="261"/>
  <c r="P141" i="261"/>
  <c r="P140" i="261"/>
  <c r="P139" i="261"/>
  <c r="P138" i="261"/>
  <c r="P137" i="261"/>
  <c r="P136" i="261"/>
  <c r="P135" i="261"/>
  <c r="P134" i="261"/>
  <c r="P132" i="261"/>
  <c r="P131" i="261"/>
  <c r="P130" i="261"/>
  <c r="P129" i="261"/>
  <c r="P128" i="261"/>
  <c r="P127" i="261"/>
  <c r="P126" i="261"/>
  <c r="P125" i="261"/>
  <c r="P124" i="261"/>
  <c r="P123" i="261"/>
  <c r="P116" i="261"/>
  <c r="P115" i="261"/>
  <c r="P114" i="261"/>
  <c r="P113" i="261"/>
  <c r="P112" i="261"/>
  <c r="P111" i="261"/>
  <c r="P110" i="261"/>
  <c r="P109" i="261"/>
  <c r="P108" i="261"/>
  <c r="P107" i="261"/>
  <c r="P105" i="261"/>
  <c r="P104" i="261"/>
  <c r="P103" i="261"/>
  <c r="P102" i="261"/>
  <c r="P101" i="261"/>
  <c r="P100" i="261"/>
  <c r="P99" i="261"/>
  <c r="P98" i="261"/>
  <c r="P97" i="261"/>
  <c r="P96" i="261"/>
  <c r="P89" i="261"/>
  <c r="P88" i="261"/>
  <c r="P87" i="261"/>
  <c r="P86" i="261"/>
  <c r="P85" i="261"/>
  <c r="P84" i="261"/>
  <c r="P83" i="261"/>
  <c r="P82" i="261"/>
  <c r="P81" i="261"/>
  <c r="P80" i="261"/>
  <c r="P79" i="261"/>
  <c r="P78" i="261"/>
  <c r="P77" i="261"/>
  <c r="P76" i="261"/>
  <c r="P75" i="261"/>
  <c r="P74" i="261"/>
  <c r="P73" i="261"/>
  <c r="P72" i="261"/>
  <c r="P71" i="261"/>
  <c r="P70" i="261"/>
  <c r="P68" i="261"/>
  <c r="P67" i="261"/>
  <c r="P66" i="261"/>
  <c r="P65" i="261"/>
  <c r="P64" i="261"/>
  <c r="P63" i="261"/>
  <c r="P62" i="261"/>
  <c r="P61" i="261"/>
  <c r="P60" i="261"/>
  <c r="P59" i="261"/>
  <c r="P58" i="261"/>
  <c r="P57" i="261"/>
  <c r="P56" i="261"/>
  <c r="P55" i="261"/>
  <c r="P54" i="261"/>
  <c r="P53" i="261"/>
  <c r="P52" i="261"/>
  <c r="P51" i="261"/>
  <c r="P50" i="261"/>
  <c r="P49" i="261"/>
  <c r="X12" i="259"/>
  <c r="W12" i="259"/>
  <c r="U12" i="259"/>
  <c r="M11" i="235" l="1"/>
  <c r="L36" i="260" l="1"/>
  <c r="M31" i="235" s="1"/>
  <c r="M24" i="235"/>
  <c r="M23" i="235"/>
  <c r="M21" i="235"/>
  <c r="M20" i="235"/>
  <c r="K3" i="248"/>
  <c r="I3" i="248"/>
  <c r="J19" i="248"/>
  <c r="J32" i="235" l="1"/>
  <c r="J31" i="235"/>
  <c r="C47" i="260"/>
  <c r="C45" i="260"/>
  <c r="C43" i="260"/>
  <c r="C41" i="260"/>
  <c r="J35" i="260" l="1"/>
  <c r="J34" i="260"/>
  <c r="K14" i="260"/>
  <c r="K15" i="260"/>
  <c r="K10" i="250"/>
  <c r="J24" i="260"/>
  <c r="L24" i="260" s="1"/>
  <c r="N71" i="261"/>
  <c r="O71" i="261" s="1"/>
  <c r="N51" i="261"/>
  <c r="O51" i="261" s="1"/>
  <c r="N52" i="261"/>
  <c r="O52" i="261" s="1"/>
  <c r="N53" i="261"/>
  <c r="O53" i="261" s="1"/>
  <c r="N54" i="261"/>
  <c r="O54" i="261" s="1"/>
  <c r="N55" i="261"/>
  <c r="O55" i="261" s="1"/>
  <c r="N56" i="261"/>
  <c r="O56" i="261" s="1"/>
  <c r="N57" i="261"/>
  <c r="O57" i="261" s="1"/>
  <c r="N58" i="261"/>
  <c r="O58" i="261" s="1"/>
  <c r="N59" i="261"/>
  <c r="O59" i="261" s="1"/>
  <c r="N60" i="261"/>
  <c r="O60" i="261" s="1"/>
  <c r="N61" i="261"/>
  <c r="O61" i="261" s="1"/>
  <c r="N62" i="261"/>
  <c r="O62" i="261" s="1"/>
  <c r="N63" i="261"/>
  <c r="O63" i="261" s="1"/>
  <c r="N64" i="261"/>
  <c r="O64" i="261" s="1"/>
  <c r="N65" i="261"/>
  <c r="O65" i="261" s="1"/>
  <c r="N66" i="261"/>
  <c r="O66" i="261" s="1"/>
  <c r="N67" i="261"/>
  <c r="O67" i="261" s="1"/>
  <c r="N68" i="261"/>
  <c r="O68" i="261" s="1"/>
  <c r="J33" i="261"/>
  <c r="J19" i="261"/>
  <c r="J18" i="261"/>
  <c r="F2" i="235"/>
  <c r="N9" i="259"/>
  <c r="N8" i="259"/>
  <c r="J36" i="260" l="1"/>
  <c r="L31" i="235" s="1"/>
  <c r="L33" i="261"/>
  <c r="H4" i="249"/>
  <c r="K4" i="249" s="1"/>
  <c r="J4" i="249" s="1"/>
  <c r="H11" i="249"/>
  <c r="E11" i="249"/>
  <c r="I11" i="249" s="1"/>
  <c r="I7" i="248"/>
  <c r="N10" i="248"/>
  <c r="N8" i="248"/>
  <c r="N9" i="248"/>
  <c r="N7" i="248"/>
  <c r="G19" i="248"/>
  <c r="F19" i="248"/>
  <c r="H19" i="248"/>
  <c r="J30" i="235"/>
  <c r="M10" i="235"/>
  <c r="M9" i="235"/>
  <c r="M12" i="235" s="1"/>
  <c r="J37" i="235" l="1"/>
  <c r="I10" i="248"/>
  <c r="I19" i="248" s="1"/>
  <c r="L13" i="235" l="1"/>
  <c r="F10" i="250"/>
  <c r="O64" i="269"/>
  <c r="O65" i="269"/>
  <c r="O66" i="269"/>
  <c r="O67" i="269"/>
  <c r="O68" i="269"/>
  <c r="O69" i="269"/>
  <c r="O70" i="269"/>
  <c r="O71" i="269"/>
  <c r="O72" i="269"/>
  <c r="O73" i="269"/>
  <c r="O74" i="269"/>
  <c r="O75" i="269"/>
  <c r="O76" i="269"/>
  <c r="O77" i="269"/>
  <c r="O78" i="269"/>
  <c r="O79" i="269"/>
  <c r="O80" i="269"/>
  <c r="O81" i="269"/>
  <c r="O82" i="269"/>
  <c r="M14" i="235"/>
  <c r="M13" i="235"/>
  <c r="M8" i="235"/>
  <c r="M7" i="235"/>
  <c r="M5" i="235"/>
  <c r="M6" i="235" s="1"/>
  <c r="M4" i="235"/>
  <c r="G10" i="250"/>
  <c r="L45" i="235" s="1"/>
  <c r="N162" i="261"/>
  <c r="O162" i="261" s="1"/>
  <c r="N163" i="261"/>
  <c r="O163" i="261" s="1"/>
  <c r="N164" i="261"/>
  <c r="O164" i="261" s="1"/>
  <c r="N165" i="261"/>
  <c r="O165" i="261" s="1"/>
  <c r="N166" i="261"/>
  <c r="O166" i="261" s="1"/>
  <c r="N167" i="261"/>
  <c r="O167" i="261" s="1"/>
  <c r="N168" i="261"/>
  <c r="O168" i="261" s="1"/>
  <c r="N169" i="261"/>
  <c r="O169" i="261" s="1"/>
  <c r="N170" i="261"/>
  <c r="O170" i="261" s="1"/>
  <c r="N151" i="261"/>
  <c r="N152" i="261"/>
  <c r="O152" i="261" s="1"/>
  <c r="N153" i="261"/>
  <c r="O153" i="261" s="1"/>
  <c r="N154" i="261"/>
  <c r="O154" i="261" s="1"/>
  <c r="N155" i="261"/>
  <c r="N156" i="261"/>
  <c r="O156" i="261" s="1"/>
  <c r="N157" i="261"/>
  <c r="O157" i="261" s="1"/>
  <c r="N158" i="261"/>
  <c r="O158" i="261" s="1"/>
  <c r="N159" i="261"/>
  <c r="O159" i="261" s="1"/>
  <c r="O155" i="261"/>
  <c r="O151" i="261"/>
  <c r="N143" i="261"/>
  <c r="O143" i="261" s="1"/>
  <c r="N142" i="261"/>
  <c r="O142" i="261" s="1"/>
  <c r="N141" i="261"/>
  <c r="O141" i="261" s="1"/>
  <c r="N140" i="261"/>
  <c r="O140" i="261" s="1"/>
  <c r="N139" i="261"/>
  <c r="O139" i="261" s="1"/>
  <c r="N138" i="261"/>
  <c r="O138" i="261" s="1"/>
  <c r="N137" i="261"/>
  <c r="O137" i="261" s="1"/>
  <c r="N136" i="261"/>
  <c r="O136" i="261" s="1"/>
  <c r="N135" i="261"/>
  <c r="O135" i="261" s="1"/>
  <c r="N134" i="261"/>
  <c r="O134" i="261" s="1"/>
  <c r="N132" i="261"/>
  <c r="O132" i="261" s="1"/>
  <c r="N131" i="261"/>
  <c r="O131" i="261" s="1"/>
  <c r="N130" i="261"/>
  <c r="O130" i="261" s="1"/>
  <c r="N129" i="261"/>
  <c r="N128" i="261"/>
  <c r="O128" i="261" s="1"/>
  <c r="N127" i="261"/>
  <c r="O127" i="261" s="1"/>
  <c r="N126" i="261"/>
  <c r="O126" i="261" s="1"/>
  <c r="N125" i="261"/>
  <c r="O125" i="261" s="1"/>
  <c r="N124" i="261"/>
  <c r="O124" i="261" s="1"/>
  <c r="N123" i="261"/>
  <c r="O123" i="261" s="1"/>
  <c r="O116" i="261"/>
  <c r="N108" i="261"/>
  <c r="O108" i="261" s="1"/>
  <c r="N109" i="261"/>
  <c r="O109" i="261" s="1"/>
  <c r="N110" i="261"/>
  <c r="O110" i="261" s="1"/>
  <c r="N111" i="261"/>
  <c r="O111" i="261" s="1"/>
  <c r="N112" i="261"/>
  <c r="O112" i="261" s="1"/>
  <c r="N113" i="261"/>
  <c r="N114" i="261"/>
  <c r="O114" i="261" s="1"/>
  <c r="N115" i="261"/>
  <c r="O115" i="261" s="1"/>
  <c r="N116" i="261"/>
  <c r="N97" i="261"/>
  <c r="O97" i="261" s="1"/>
  <c r="N98" i="261"/>
  <c r="O98" i="261" s="1"/>
  <c r="N99" i="261"/>
  <c r="O99" i="261" s="1"/>
  <c r="N100" i="261"/>
  <c r="O100" i="261" s="1"/>
  <c r="N101" i="261"/>
  <c r="O101" i="261" s="1"/>
  <c r="N102" i="261"/>
  <c r="O102" i="261" s="1"/>
  <c r="N103" i="261"/>
  <c r="O103" i="261" s="1"/>
  <c r="N104" i="261"/>
  <c r="O104" i="261" s="1"/>
  <c r="N105" i="261"/>
  <c r="O105" i="261" s="1"/>
  <c r="N72" i="261"/>
  <c r="O72" i="261" s="1"/>
  <c r="N73" i="261"/>
  <c r="O73" i="261" s="1"/>
  <c r="N74" i="261"/>
  <c r="O74" i="261" s="1"/>
  <c r="N75" i="261"/>
  <c r="O75" i="261" s="1"/>
  <c r="N76" i="261"/>
  <c r="O76" i="261" s="1"/>
  <c r="N77" i="261"/>
  <c r="O77" i="261" s="1"/>
  <c r="N78" i="261"/>
  <c r="O78" i="261" s="1"/>
  <c r="N79" i="261"/>
  <c r="O79" i="261" s="1"/>
  <c r="N80" i="261"/>
  <c r="O80" i="261" s="1"/>
  <c r="N81" i="261"/>
  <c r="O81" i="261" s="1"/>
  <c r="N82" i="261"/>
  <c r="O82" i="261" s="1"/>
  <c r="N83" i="261"/>
  <c r="O83" i="261" s="1"/>
  <c r="N84" i="261"/>
  <c r="O84" i="261" s="1"/>
  <c r="N85" i="261"/>
  <c r="O85" i="261" s="1"/>
  <c r="N86" i="261"/>
  <c r="O86" i="261" s="1"/>
  <c r="N87" i="261"/>
  <c r="O87" i="261" s="1"/>
  <c r="N88" i="261"/>
  <c r="O88" i="261" s="1"/>
  <c r="N89" i="261"/>
  <c r="O89" i="261" s="1"/>
  <c r="N70" i="261"/>
  <c r="O70" i="261" s="1"/>
  <c r="O32" i="269"/>
  <c r="N50" i="261"/>
  <c r="O50" i="261" s="1"/>
  <c r="H14" i="260"/>
  <c r="I14" i="260" s="1"/>
  <c r="H15" i="260"/>
  <c r="I15" i="260" s="1"/>
  <c r="M30" i="235"/>
  <c r="O85" i="269"/>
  <c r="O86" i="269"/>
  <c r="O87" i="269"/>
  <c r="O88" i="269"/>
  <c r="O89" i="269"/>
  <c r="O90" i="269"/>
  <c r="O91" i="269"/>
  <c r="O92" i="269"/>
  <c r="O93" i="269"/>
  <c r="O94" i="269"/>
  <c r="O95" i="269"/>
  <c r="O96" i="269"/>
  <c r="O97" i="269"/>
  <c r="O98" i="269"/>
  <c r="O99" i="269"/>
  <c r="O100" i="269"/>
  <c r="O101" i="269"/>
  <c r="O102" i="269"/>
  <c r="O103" i="269"/>
  <c r="M40" i="235"/>
  <c r="M3" i="260"/>
  <c r="H8" i="260" s="1"/>
  <c r="I8" i="260" s="1"/>
  <c r="K8" i="260" s="1"/>
  <c r="B24" i="260"/>
  <c r="O33" i="269"/>
  <c r="O34" i="269"/>
  <c r="O35" i="269"/>
  <c r="O36" i="269"/>
  <c r="O37" i="269"/>
  <c r="O38" i="269"/>
  <c r="O39" i="269"/>
  <c r="O40" i="269"/>
  <c r="O41" i="269"/>
  <c r="O42" i="269"/>
  <c r="O43" i="269"/>
  <c r="O44" i="269"/>
  <c r="O45" i="269"/>
  <c r="O46" i="269"/>
  <c r="O47" i="269"/>
  <c r="O48" i="269"/>
  <c r="O49" i="269"/>
  <c r="O50" i="269"/>
  <c r="O51" i="269"/>
  <c r="O52" i="269"/>
  <c r="O53" i="269"/>
  <c r="O54" i="269"/>
  <c r="O55" i="269"/>
  <c r="O56" i="269"/>
  <c r="O57" i="269"/>
  <c r="O58" i="269"/>
  <c r="O59" i="269"/>
  <c r="O60" i="269"/>
  <c r="O61" i="269"/>
  <c r="O14" i="269"/>
  <c r="O15" i="269"/>
  <c r="O16" i="269"/>
  <c r="O17" i="269"/>
  <c r="O18" i="269"/>
  <c r="O19" i="269"/>
  <c r="O20" i="269"/>
  <c r="O21" i="269"/>
  <c r="O22" i="269"/>
  <c r="O23" i="269"/>
  <c r="O24" i="269"/>
  <c r="O25" i="269"/>
  <c r="O26" i="269"/>
  <c r="O27" i="269"/>
  <c r="O28" i="269"/>
  <c r="O29" i="269"/>
  <c r="K103" i="269"/>
  <c r="J103" i="269"/>
  <c r="I103" i="269"/>
  <c r="H103" i="269"/>
  <c r="K102" i="269"/>
  <c r="J102" i="269"/>
  <c r="I102" i="269"/>
  <c r="H102" i="269"/>
  <c r="K101" i="269"/>
  <c r="J101" i="269"/>
  <c r="I101" i="269"/>
  <c r="H101" i="269"/>
  <c r="K100" i="269"/>
  <c r="J100" i="269"/>
  <c r="I100" i="269"/>
  <c r="H100" i="269"/>
  <c r="K99" i="269"/>
  <c r="J99" i="269"/>
  <c r="I99" i="269"/>
  <c r="H99" i="269"/>
  <c r="K98" i="269"/>
  <c r="J98" i="269"/>
  <c r="I98" i="269"/>
  <c r="H98" i="269"/>
  <c r="K97" i="269"/>
  <c r="J97" i="269"/>
  <c r="I97" i="269"/>
  <c r="H97" i="269"/>
  <c r="K96" i="269"/>
  <c r="J96" i="269"/>
  <c r="I96" i="269"/>
  <c r="H96" i="269"/>
  <c r="K95" i="269"/>
  <c r="J95" i="269"/>
  <c r="I95" i="269"/>
  <c r="H95" i="269"/>
  <c r="K94" i="269"/>
  <c r="J94" i="269"/>
  <c r="I94" i="269"/>
  <c r="H94" i="269"/>
  <c r="K93" i="269"/>
  <c r="J93" i="269"/>
  <c r="I93" i="269"/>
  <c r="H93" i="269"/>
  <c r="K92" i="269"/>
  <c r="J92" i="269"/>
  <c r="I92" i="269"/>
  <c r="H92" i="269"/>
  <c r="K91" i="269"/>
  <c r="J91" i="269"/>
  <c r="I91" i="269"/>
  <c r="H91" i="269"/>
  <c r="K90" i="269"/>
  <c r="J90" i="269"/>
  <c r="I90" i="269"/>
  <c r="H90" i="269"/>
  <c r="K89" i="269"/>
  <c r="J89" i="269"/>
  <c r="I89" i="269"/>
  <c r="H89" i="269"/>
  <c r="K88" i="269"/>
  <c r="J88" i="269"/>
  <c r="I88" i="269"/>
  <c r="H88" i="269"/>
  <c r="K87" i="269"/>
  <c r="J87" i="269"/>
  <c r="I87" i="269"/>
  <c r="H87" i="269"/>
  <c r="K86" i="269"/>
  <c r="J86" i="269"/>
  <c r="I86" i="269"/>
  <c r="H86" i="269"/>
  <c r="K85" i="269"/>
  <c r="J85" i="269"/>
  <c r="I85" i="269"/>
  <c r="H85" i="269"/>
  <c r="H84" i="269"/>
  <c r="H64" i="269"/>
  <c r="I64" i="269"/>
  <c r="J64" i="269"/>
  <c r="K64" i="269"/>
  <c r="H65" i="269"/>
  <c r="I65" i="269"/>
  <c r="J65" i="269"/>
  <c r="K65" i="269"/>
  <c r="H66" i="269"/>
  <c r="I66" i="269"/>
  <c r="J66" i="269"/>
  <c r="K66" i="269"/>
  <c r="H67" i="269"/>
  <c r="I67" i="269"/>
  <c r="J67" i="269"/>
  <c r="K67" i="269"/>
  <c r="H68" i="269"/>
  <c r="I68" i="269"/>
  <c r="J68" i="269"/>
  <c r="K68" i="269"/>
  <c r="H69" i="269"/>
  <c r="I69" i="269"/>
  <c r="J69" i="269"/>
  <c r="K69" i="269"/>
  <c r="H70" i="269"/>
  <c r="I70" i="269"/>
  <c r="J70" i="269"/>
  <c r="K70" i="269"/>
  <c r="H71" i="269"/>
  <c r="I71" i="269"/>
  <c r="J71" i="269"/>
  <c r="K71" i="269"/>
  <c r="H72" i="269"/>
  <c r="I72" i="269"/>
  <c r="J72" i="269"/>
  <c r="K72" i="269"/>
  <c r="H73" i="269"/>
  <c r="I73" i="269"/>
  <c r="J73" i="269"/>
  <c r="K73" i="269"/>
  <c r="H74" i="269"/>
  <c r="I74" i="269"/>
  <c r="J74" i="269"/>
  <c r="K74" i="269"/>
  <c r="H75" i="269"/>
  <c r="I75" i="269"/>
  <c r="J75" i="269"/>
  <c r="K75" i="269"/>
  <c r="H76" i="269"/>
  <c r="I76" i="269"/>
  <c r="J76" i="269"/>
  <c r="K76" i="269"/>
  <c r="H77" i="269"/>
  <c r="I77" i="269"/>
  <c r="J77" i="269"/>
  <c r="K77" i="269"/>
  <c r="H78" i="269"/>
  <c r="I78" i="269"/>
  <c r="J78" i="269"/>
  <c r="K78" i="269"/>
  <c r="H79" i="269"/>
  <c r="I79" i="269"/>
  <c r="J79" i="269"/>
  <c r="K79" i="269"/>
  <c r="H80" i="269"/>
  <c r="I80" i="269"/>
  <c r="J80" i="269"/>
  <c r="K80" i="269"/>
  <c r="H81" i="269"/>
  <c r="I81" i="269"/>
  <c r="J81" i="269"/>
  <c r="K81" i="269"/>
  <c r="H82" i="269"/>
  <c r="I82" i="269"/>
  <c r="J82" i="269"/>
  <c r="K82" i="269"/>
  <c r="H63" i="269"/>
  <c r="H48" i="269"/>
  <c r="I48" i="269"/>
  <c r="J48" i="269"/>
  <c r="K48" i="269"/>
  <c r="H49" i="269"/>
  <c r="I49" i="269"/>
  <c r="J49" i="269"/>
  <c r="K49" i="269"/>
  <c r="H50" i="269"/>
  <c r="I50" i="269"/>
  <c r="J50" i="269"/>
  <c r="K50" i="269"/>
  <c r="H51" i="269"/>
  <c r="I51" i="269"/>
  <c r="J51" i="269"/>
  <c r="K51" i="269"/>
  <c r="H52" i="269"/>
  <c r="I52" i="269"/>
  <c r="J52" i="269"/>
  <c r="K52" i="269"/>
  <c r="H53" i="269"/>
  <c r="I53" i="269"/>
  <c r="J53" i="269"/>
  <c r="K53" i="269"/>
  <c r="H54" i="269"/>
  <c r="I54" i="269"/>
  <c r="J54" i="269"/>
  <c r="K54" i="269"/>
  <c r="H55" i="269"/>
  <c r="I55" i="269"/>
  <c r="J55" i="269"/>
  <c r="K55" i="269"/>
  <c r="H56" i="269"/>
  <c r="I56" i="269"/>
  <c r="J56" i="269"/>
  <c r="K56" i="269"/>
  <c r="H57" i="269"/>
  <c r="I57" i="269"/>
  <c r="J57" i="269"/>
  <c r="K57" i="269"/>
  <c r="H58" i="269"/>
  <c r="I58" i="269"/>
  <c r="J58" i="269"/>
  <c r="K58" i="269"/>
  <c r="H59" i="269"/>
  <c r="I59" i="269"/>
  <c r="J59" i="269"/>
  <c r="K59" i="269"/>
  <c r="H60" i="269"/>
  <c r="I60" i="269"/>
  <c r="J60" i="269"/>
  <c r="K60" i="269"/>
  <c r="H61" i="269"/>
  <c r="I61" i="269"/>
  <c r="J61" i="269"/>
  <c r="K61" i="269"/>
  <c r="K47" i="269"/>
  <c r="J47" i="269"/>
  <c r="I47" i="269"/>
  <c r="H47" i="269"/>
  <c r="K46" i="269"/>
  <c r="J46" i="269"/>
  <c r="I46" i="269"/>
  <c r="H46" i="269"/>
  <c r="K45" i="269"/>
  <c r="J45" i="269"/>
  <c r="I45" i="269"/>
  <c r="H45" i="269"/>
  <c r="K44" i="269"/>
  <c r="J44" i="269"/>
  <c r="I44" i="269"/>
  <c r="H44" i="269"/>
  <c r="K43" i="269"/>
  <c r="J43" i="269"/>
  <c r="I43" i="269"/>
  <c r="H43" i="269"/>
  <c r="K42" i="269"/>
  <c r="J42" i="269"/>
  <c r="I42" i="269"/>
  <c r="H42" i="269"/>
  <c r="K41" i="269"/>
  <c r="J41" i="269"/>
  <c r="I41" i="269"/>
  <c r="H41" i="269"/>
  <c r="K40" i="269"/>
  <c r="J40" i="269"/>
  <c r="I40" i="269"/>
  <c r="H40" i="269"/>
  <c r="K39" i="269"/>
  <c r="J39" i="269"/>
  <c r="I39" i="269"/>
  <c r="H39" i="269"/>
  <c r="K38" i="269"/>
  <c r="J38" i="269"/>
  <c r="I38" i="269"/>
  <c r="H38" i="269"/>
  <c r="K37" i="269"/>
  <c r="J37" i="269"/>
  <c r="I37" i="269"/>
  <c r="H37" i="269"/>
  <c r="K36" i="269"/>
  <c r="J36" i="269"/>
  <c r="I36" i="269"/>
  <c r="H36" i="269"/>
  <c r="K35" i="269"/>
  <c r="J35" i="269"/>
  <c r="I35" i="269"/>
  <c r="H35" i="269"/>
  <c r="K34" i="269"/>
  <c r="J34" i="269"/>
  <c r="I34" i="269"/>
  <c r="H34" i="269"/>
  <c r="K33" i="269"/>
  <c r="J33" i="269"/>
  <c r="I33" i="269"/>
  <c r="H33" i="269"/>
  <c r="K32" i="269"/>
  <c r="J32" i="269"/>
  <c r="I32" i="269"/>
  <c r="H32" i="269"/>
  <c r="H31" i="269"/>
  <c r="H12" i="269"/>
  <c r="B94" i="269"/>
  <c r="B73" i="269"/>
  <c r="B45" i="269"/>
  <c r="B22" i="269"/>
  <c r="N161" i="261"/>
  <c r="O161" i="261" s="1"/>
  <c r="N49" i="261"/>
  <c r="O49" i="261" s="1"/>
  <c r="A6" i="269"/>
  <c r="H24" i="249"/>
  <c r="M18" i="259"/>
  <c r="N18" i="259" s="1"/>
  <c r="N19" i="259"/>
  <c r="N20" i="259"/>
  <c r="N150" i="261"/>
  <c r="O150" i="261" s="1"/>
  <c r="N107" i="261"/>
  <c r="O107" i="261" s="1"/>
  <c r="N96" i="261"/>
  <c r="O96" i="261" s="1"/>
  <c r="B145" i="261"/>
  <c r="B118" i="261"/>
  <c r="B91" i="261"/>
  <c r="B44" i="261"/>
  <c r="E11" i="235"/>
  <c r="E14" i="235"/>
  <c r="E10" i="235"/>
  <c r="E5" i="235"/>
  <c r="K14" i="269"/>
  <c r="K15" i="269"/>
  <c r="K16" i="269"/>
  <c r="K17" i="269"/>
  <c r="K18" i="269"/>
  <c r="K19" i="269"/>
  <c r="K20" i="269"/>
  <c r="K21" i="269"/>
  <c r="K22" i="269"/>
  <c r="K23" i="269"/>
  <c r="K24" i="269"/>
  <c r="K25" i="269"/>
  <c r="K26" i="269"/>
  <c r="K27" i="269"/>
  <c r="K28" i="269"/>
  <c r="K29" i="269"/>
  <c r="H14" i="269"/>
  <c r="H15" i="269"/>
  <c r="H16" i="269"/>
  <c r="H17" i="269"/>
  <c r="H18" i="269"/>
  <c r="H19" i="269"/>
  <c r="H20" i="269"/>
  <c r="H21" i="269"/>
  <c r="H22" i="269"/>
  <c r="H23" i="269"/>
  <c r="H24" i="269"/>
  <c r="H25" i="269"/>
  <c r="H26" i="269"/>
  <c r="H27" i="269"/>
  <c r="H28" i="269"/>
  <c r="H29" i="269"/>
  <c r="H13" i="269"/>
  <c r="J14" i="269"/>
  <c r="J15" i="269"/>
  <c r="J16" i="269"/>
  <c r="J17" i="269"/>
  <c r="J18" i="269"/>
  <c r="J19" i="269"/>
  <c r="J20" i="269"/>
  <c r="J21" i="269"/>
  <c r="J22" i="269"/>
  <c r="J23" i="269"/>
  <c r="J24" i="269"/>
  <c r="J25" i="269"/>
  <c r="J26" i="269"/>
  <c r="J27" i="269"/>
  <c r="J28" i="269"/>
  <c r="J29" i="269"/>
  <c r="I14" i="269"/>
  <c r="I15" i="269"/>
  <c r="I16" i="269"/>
  <c r="I17" i="269"/>
  <c r="I18" i="269"/>
  <c r="I19" i="269"/>
  <c r="I20" i="269"/>
  <c r="I21" i="269"/>
  <c r="I22" i="269"/>
  <c r="I23" i="269"/>
  <c r="I24" i="269"/>
  <c r="I25" i="269"/>
  <c r="I26" i="269"/>
  <c r="I27" i="269"/>
  <c r="I28" i="269"/>
  <c r="I29" i="269"/>
  <c r="M51" i="235"/>
  <c r="M50" i="235"/>
  <c r="M48" i="235"/>
  <c r="M47" i="235"/>
  <c r="M46" i="235"/>
  <c r="M45" i="235"/>
  <c r="M42" i="235"/>
  <c r="M44" i="235" s="1"/>
  <c r="B11" i="249"/>
  <c r="M39" i="235"/>
  <c r="M37" i="235"/>
  <c r="M17" i="235"/>
  <c r="M18" i="235"/>
  <c r="M34" i="235"/>
  <c r="B14" i="250"/>
  <c r="H4" i="250"/>
  <c r="J31" i="260"/>
  <c r="M31" i="260" s="1"/>
  <c r="L31" i="260" s="1"/>
  <c r="H4" i="271"/>
  <c r="L4" i="271" s="1"/>
  <c r="J4" i="271" s="1"/>
  <c r="N3" i="269"/>
  <c r="P3" i="269" s="1"/>
  <c r="O3" i="269" s="1"/>
  <c r="D24" i="233"/>
  <c r="C2" i="235" s="1"/>
  <c r="C5" i="267"/>
  <c r="J8" i="235"/>
  <c r="J46" i="235"/>
  <c r="L50" i="235"/>
  <c r="L51" i="235"/>
  <c r="G14" i="250"/>
  <c r="L46" i="235" s="1"/>
  <c r="C8" i="267"/>
  <c r="C11" i="267"/>
  <c r="G37" i="235" s="1"/>
  <c r="C10" i="267"/>
  <c r="H10" i="235" s="1"/>
  <c r="C9" i="267"/>
  <c r="H35" i="235" s="1"/>
  <c r="I36" i="235"/>
  <c r="I35" i="235"/>
  <c r="J35" i="235"/>
  <c r="J36" i="235"/>
  <c r="J34" i="235"/>
  <c r="I34" i="235"/>
  <c r="J29" i="235"/>
  <c r="J28" i="235"/>
  <c r="J27" i="235"/>
  <c r="L37" i="235"/>
  <c r="L34" i="235"/>
  <c r="G30" i="271"/>
  <c r="J24" i="235" s="1"/>
  <c r="G25" i="271"/>
  <c r="J23" i="235" s="1"/>
  <c r="L19" i="271"/>
  <c r="G15" i="271"/>
  <c r="G16" i="271"/>
  <c r="G17" i="271"/>
  <c r="G18" i="271" s="1"/>
  <c r="J21" i="235" s="1"/>
  <c r="G14" i="271"/>
  <c r="G9" i="271"/>
  <c r="G10" i="271"/>
  <c r="G11" i="271"/>
  <c r="G12" i="271"/>
  <c r="G8" i="271"/>
  <c r="D17" i="271"/>
  <c r="D16" i="271"/>
  <c r="D15" i="271"/>
  <c r="D14" i="271"/>
  <c r="J113" i="269"/>
  <c r="J114" i="269"/>
  <c r="J115" i="269"/>
  <c r="J116" i="269"/>
  <c r="J117" i="269"/>
  <c r="J118" i="269"/>
  <c r="L119" i="269"/>
  <c r="M112" i="269" s="1"/>
  <c r="J18" i="235" s="1"/>
  <c r="J112" i="269"/>
  <c r="B19" i="261"/>
  <c r="E19" i="261"/>
  <c r="L19" i="261" s="1"/>
  <c r="L8" i="235" s="1"/>
  <c r="J13" i="235"/>
  <c r="I14" i="235"/>
  <c r="I13" i="235"/>
  <c r="J7" i="235"/>
  <c r="K6" i="235"/>
  <c r="K16" i="235" s="1"/>
  <c r="I8" i="235"/>
  <c r="I10" i="235" s="1"/>
  <c r="I7" i="235"/>
  <c r="I9" i="235" s="1"/>
  <c r="C22" i="249"/>
  <c r="C20" i="249"/>
  <c r="C18" i="249"/>
  <c r="C16" i="249"/>
  <c r="D10" i="248"/>
  <c r="D9" i="248"/>
  <c r="D8" i="248"/>
  <c r="D7" i="248"/>
  <c r="E33" i="261"/>
  <c r="B33" i="261"/>
  <c r="E18" i="261"/>
  <c r="L18" i="261" s="1"/>
  <c r="B18" i="261"/>
  <c r="J23" i="261" s="1"/>
  <c r="B7" i="261"/>
  <c r="F37" i="261"/>
  <c r="F38" i="261" s="1"/>
  <c r="G37" i="261" s="1"/>
  <c r="G38" i="261" s="1"/>
  <c r="H37" i="261" s="1"/>
  <c r="E7" i="261"/>
  <c r="L7" i="261" s="1"/>
  <c r="L4" i="235" s="1"/>
  <c r="A12" i="233"/>
  <c r="B9" i="267"/>
  <c r="B15" i="271" s="1"/>
  <c r="B10" i="267"/>
  <c r="B11" i="267"/>
  <c r="B8" i="267"/>
  <c r="B41" i="260" s="1"/>
  <c r="B3" i="267"/>
  <c r="C56" i="235"/>
  <c r="E7" i="268"/>
  <c r="F6" i="268" s="1"/>
  <c r="L42" i="235" s="1"/>
  <c r="L44" i="235" s="1"/>
  <c r="J4" i="235"/>
  <c r="I18" i="249"/>
  <c r="I19" i="249"/>
  <c r="I20" i="249"/>
  <c r="I21" i="249"/>
  <c r="I22" i="249"/>
  <c r="I23" i="249"/>
  <c r="I17" i="249"/>
  <c r="I16" i="249"/>
  <c r="M7" i="259"/>
  <c r="N7" i="259" s="1"/>
  <c r="A4" i="259"/>
  <c r="A4" i="251"/>
  <c r="D15" i="245"/>
  <c r="D17" i="245"/>
  <c r="I8" i="251"/>
  <c r="I15" i="251" s="1"/>
  <c r="D18" i="251" s="1"/>
  <c r="G18" i="251" s="1"/>
  <c r="G15" i="251"/>
  <c r="J30" i="271"/>
  <c r="L24" i="235" s="1"/>
  <c r="I63" i="269"/>
  <c r="H14" i="235"/>
  <c r="H13" i="235"/>
  <c r="B17" i="271"/>
  <c r="B16" i="249"/>
  <c r="N160" i="261"/>
  <c r="C7" i="248" l="1"/>
  <c r="F58" i="235"/>
  <c r="B14" i="271"/>
  <c r="F8" i="267"/>
  <c r="F11" i="267"/>
  <c r="C8" i="248"/>
  <c r="B43" i="260"/>
  <c r="M43" i="260"/>
  <c r="M47" i="260"/>
  <c r="M48" i="260"/>
  <c r="M45" i="260"/>
  <c r="M44" i="260"/>
  <c r="M41" i="260"/>
  <c r="M42" i="260"/>
  <c r="M46" i="260"/>
  <c r="B22" i="249"/>
  <c r="B47" i="260"/>
  <c r="J24" i="261"/>
  <c r="B16" i="271"/>
  <c r="B45" i="260"/>
  <c r="M19" i="235"/>
  <c r="M38" i="235"/>
  <c r="H6" i="260"/>
  <c r="I6" i="260" s="1"/>
  <c r="K6" i="260" s="1"/>
  <c r="M33" i="235"/>
  <c r="H7" i="260"/>
  <c r="I7" i="260" s="1"/>
  <c r="K7" i="260" s="1"/>
  <c r="H10" i="260"/>
  <c r="I10" i="260" s="1"/>
  <c r="K10" i="260" s="1"/>
  <c r="H11" i="260"/>
  <c r="I11" i="260" s="1"/>
  <c r="K11" i="260" s="1"/>
  <c r="H13" i="260"/>
  <c r="I13" i="260" s="1"/>
  <c r="K13" i="260" s="1"/>
  <c r="H9" i="260"/>
  <c r="I9" i="260" s="1"/>
  <c r="K9" i="260" s="1"/>
  <c r="H12" i="260"/>
  <c r="I12" i="260" s="1"/>
  <c r="K12" i="260" s="1"/>
  <c r="I24" i="249"/>
  <c r="O133" i="261"/>
  <c r="N106" i="261"/>
  <c r="I12" i="269"/>
  <c r="I13" i="269"/>
  <c r="G13" i="271"/>
  <c r="J20" i="235" s="1"/>
  <c r="O69" i="261"/>
  <c r="O48" i="261"/>
  <c r="M52" i="235"/>
  <c r="L52" i="235"/>
  <c r="M25" i="235"/>
  <c r="M15" i="235"/>
  <c r="M16" i="235" s="1"/>
  <c r="M41" i="235"/>
  <c r="M22" i="235"/>
  <c r="I31" i="269"/>
  <c r="I84" i="269"/>
  <c r="C10" i="248"/>
  <c r="L38" i="235"/>
  <c r="L30" i="235"/>
  <c r="B10" i="261"/>
  <c r="N122" i="261"/>
  <c r="L7" i="235"/>
  <c r="O149" i="261"/>
  <c r="O160" i="261"/>
  <c r="G6" i="269"/>
  <c r="H6" i="269" s="1"/>
  <c r="J40" i="235"/>
  <c r="J16" i="249"/>
  <c r="L40" i="235" s="1"/>
  <c r="O95" i="261"/>
  <c r="J39" i="235"/>
  <c r="J11" i="249"/>
  <c r="L39" i="235" s="1"/>
  <c r="J12" i="269"/>
  <c r="J31" i="269"/>
  <c r="J84" i="269"/>
  <c r="J63" i="269"/>
  <c r="K63" i="269" s="1"/>
  <c r="O63" i="269" s="1"/>
  <c r="O83" i="269" s="1"/>
  <c r="J13" i="269"/>
  <c r="K13" i="269" s="1"/>
  <c r="O13" i="269" s="1"/>
  <c r="O122" i="261"/>
  <c r="N95" i="261"/>
  <c r="I14" i="271"/>
  <c r="J14" i="271" s="1"/>
  <c r="L21" i="235" s="1"/>
  <c r="N112" i="269"/>
  <c r="L18" i="235" s="1"/>
  <c r="H36" i="235"/>
  <c r="N133" i="261"/>
  <c r="O113" i="261"/>
  <c r="O106" i="261" s="1"/>
  <c r="N48" i="261"/>
  <c r="B18" i="249"/>
  <c r="H8" i="235"/>
  <c r="C9" i="248"/>
  <c r="O129" i="261"/>
  <c r="H7" i="235"/>
  <c r="N69" i="261"/>
  <c r="H9" i="235"/>
  <c r="J25" i="271"/>
  <c r="L23" i="235" s="1"/>
  <c r="L25" i="235" s="1"/>
  <c r="N149" i="261"/>
  <c r="N148" i="261" s="1"/>
  <c r="N94" i="261" l="1"/>
  <c r="K12" i="269"/>
  <c r="O12" i="269" s="1"/>
  <c r="K84" i="269"/>
  <c r="O84" i="269" s="1"/>
  <c r="O104" i="269" s="1"/>
  <c r="O121" i="261"/>
  <c r="K24" i="261" s="1"/>
  <c r="K31" i="269"/>
  <c r="O31" i="269" s="1"/>
  <c r="O62" i="269" s="1"/>
  <c r="M26" i="235"/>
  <c r="M53" i="235" s="1"/>
  <c r="M54" i="235" s="1"/>
  <c r="K16" i="260"/>
  <c r="L6" i="260" s="1"/>
  <c r="L27" i="235" s="1"/>
  <c r="L33" i="235" s="1"/>
  <c r="O148" i="261"/>
  <c r="J37" i="261" s="1"/>
  <c r="L37" i="261" s="1"/>
  <c r="N121" i="261"/>
  <c r="I8" i="271"/>
  <c r="J8" i="271" s="1"/>
  <c r="O47" i="261"/>
  <c r="J10" i="261" s="1"/>
  <c r="J5" i="235" s="1"/>
  <c r="O30" i="269"/>
  <c r="O105" i="269" s="1"/>
  <c r="B23" i="261"/>
  <c r="E23" i="261" s="1"/>
  <c r="H25" i="261"/>
  <c r="E10" i="261"/>
  <c r="F10" i="261" s="1"/>
  <c r="H7" i="269"/>
  <c r="I6" i="269" s="1"/>
  <c r="I7" i="269" s="1"/>
  <c r="J6" i="269" s="1"/>
  <c r="J7" i="269" s="1"/>
  <c r="K6" i="269" s="1"/>
  <c r="L41" i="235"/>
  <c r="N47" i="261"/>
  <c r="O94" i="261"/>
  <c r="K23" i="261" s="1"/>
  <c r="I19" i="271"/>
  <c r="O106" i="269" l="1"/>
  <c r="J10" i="235"/>
  <c r="O107" i="269"/>
  <c r="L6" i="269" s="1"/>
  <c r="J17" i="235" s="1"/>
  <c r="K25" i="261"/>
  <c r="F24" i="261"/>
  <c r="G23" i="261" s="1"/>
  <c r="G24" i="261" s="1"/>
  <c r="J14" i="235"/>
  <c r="L14" i="235"/>
  <c r="L15" i="235" s="1"/>
  <c r="F11" i="261"/>
  <c r="G10" i="261" s="1"/>
  <c r="G11" i="261" s="1"/>
  <c r="H10" i="261" s="1"/>
  <c r="H11" i="261" s="1"/>
  <c r="I10" i="261" s="1"/>
  <c r="J19" i="271"/>
  <c r="L20" i="235"/>
  <c r="L22" i="235" s="1"/>
  <c r="L26" i="235" s="1"/>
  <c r="F23" i="261"/>
  <c r="J9" i="235"/>
  <c r="N6" i="269"/>
  <c r="L17" i="235" s="1"/>
  <c r="L19" i="235" s="1"/>
  <c r="J11" i="235" l="1"/>
  <c r="L24" i="261"/>
  <c r="L10" i="235" s="1"/>
  <c r="L23" i="261"/>
  <c r="L25" i="261" s="1"/>
  <c r="H23" i="261"/>
  <c r="L10" i="261"/>
  <c r="L5" i="235" s="1"/>
  <c r="L6" i="235" s="1"/>
  <c r="L11" i="235" l="1"/>
  <c r="L9" i="235"/>
  <c r="L12" i="235" l="1"/>
  <c r="L16" i="235" s="1"/>
  <c r="L53" i="235" s="1"/>
  <c r="L54" i="235" l="1"/>
  <c r="N54" i="235" s="1"/>
  <c r="N53" i="2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전수빈</author>
  </authors>
  <commentList>
    <comment ref="K4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입찰공고문과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상이할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입찰참여업체에서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수정가능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김민휘</author>
  </authors>
  <commentList>
    <comment ref="D7" authorId="0" shapeId="0" xr:uid="{00000000-0006-0000-02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* 해당용역에 '보조감리원' 또는 '기술지원감리원'이 없을경우 이름에 '-'입력
 </t>
        </r>
        <r>
          <rPr>
            <b/>
            <u/>
            <sz val="12"/>
            <color indexed="81"/>
            <rFont val="돋움"/>
            <family val="3"/>
            <charset val="129"/>
          </rPr>
          <t xml:space="preserve"> / 과업내용서 참고하여 배치일 기입
</t>
        </r>
        <r>
          <rPr>
            <b/>
            <sz val="12"/>
            <color indexed="81"/>
            <rFont val="돋움"/>
            <family val="3"/>
            <charset val="129"/>
          </rPr>
          <t>* 평가대상 감리원만 기재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전수빈</author>
  </authors>
  <commentList>
    <comment ref="J23" authorId="0" shapeId="0" xr:uid="{00000000-0006-0000-0400-000001000000}">
      <text>
        <r>
          <rPr>
            <b/>
            <sz val="9"/>
            <color indexed="81"/>
            <rFont val="돋움"/>
            <family val="3"/>
            <charset val="129"/>
          </rPr>
          <t>대표사만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
세부사항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해당시트에서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확인
</t>
        </r>
      </text>
    </comment>
  </commentList>
</comments>
</file>

<file path=xl/sharedStrings.xml><?xml version="1.0" encoding="utf-8"?>
<sst xmlns="http://schemas.openxmlformats.org/spreadsheetml/2006/main" count="1180" uniqueCount="702">
  <si>
    <t>-</t>
    <phoneticPr fontId="4" type="noConversion"/>
  </si>
  <si>
    <t>유효기간</t>
    <phoneticPr fontId="4" type="noConversion"/>
  </si>
  <si>
    <t xml:space="preserve"> </t>
    <phoneticPr fontId="4" type="noConversion"/>
  </si>
  <si>
    <t>1년차</t>
    <phoneticPr fontId="4" type="noConversion"/>
  </si>
  <si>
    <t>2년차</t>
    <phoneticPr fontId="4" type="noConversion"/>
  </si>
  <si>
    <t>3년차</t>
    <phoneticPr fontId="4" type="noConversion"/>
  </si>
  <si>
    <t>총매출액
(전기부문)</t>
    <phoneticPr fontId="4" type="noConversion"/>
  </si>
  <si>
    <t>평점
(용역업체)</t>
    <phoneticPr fontId="4" type="noConversion"/>
  </si>
  <si>
    <t>참여기간</t>
    <phoneticPr fontId="4" type="noConversion"/>
  </si>
  <si>
    <t>시작일</t>
    <phoneticPr fontId="4" type="noConversion"/>
  </si>
  <si>
    <t>종료일</t>
    <phoneticPr fontId="4" type="noConversion"/>
  </si>
  <si>
    <t>등급</t>
    <phoneticPr fontId="4" type="noConversion"/>
  </si>
  <si>
    <t>점수</t>
    <phoneticPr fontId="4" type="noConversion"/>
  </si>
  <si>
    <t>참여감리원</t>
  </si>
  <si>
    <t>개발실적</t>
  </si>
  <si>
    <t>감리업체</t>
  </si>
  <si>
    <t xml:space="preserve"> 수  신 : 한국토지주택공사 사장</t>
    <phoneticPr fontId="4" type="noConversion"/>
  </si>
  <si>
    <t>비고</t>
  </si>
  <si>
    <t>등 급</t>
  </si>
  <si>
    <t>계</t>
  </si>
  <si>
    <t>소  계</t>
  </si>
  <si>
    <t>합 계</t>
  </si>
  <si>
    <t>재정상태 건실도</t>
  </si>
  <si>
    <t>자본비율</t>
  </si>
  <si>
    <t>유동비율</t>
  </si>
  <si>
    <t>4</t>
  </si>
  <si>
    <t>특허</t>
  </si>
  <si>
    <t>교육실적</t>
  </si>
  <si>
    <t>2주이상 이수</t>
  </si>
  <si>
    <t>1주이상 이수</t>
  </si>
  <si>
    <t>상주감리원</t>
  </si>
  <si>
    <t>합  계</t>
  </si>
  <si>
    <t>가감점 합계</t>
  </si>
  <si>
    <t>부실벌점</t>
    <phoneticPr fontId="4" type="noConversion"/>
  </si>
  <si>
    <t>전기</t>
    <phoneticPr fontId="4" type="noConversion"/>
  </si>
  <si>
    <t>재정상태 검토보고서</t>
  </si>
  <si>
    <t> 1. 설계(감리)업체</t>
  </si>
  <si>
    <t>상 호</t>
  </si>
  <si>
    <t>대표자</t>
  </si>
  <si>
    <t>주 소</t>
  </si>
  <si>
    <t> 2. 경영상태 검토내용</t>
  </si>
  <si>
    <t>구     분</t>
  </si>
  <si>
    <t>비율(%)</t>
  </si>
  <si>
    <t>산출근거(단위: 백만원)</t>
  </si>
  <si>
    <t>자기자본비율</t>
    <phoneticPr fontId="4" type="noConversion"/>
  </si>
  <si>
    <t>법인</t>
  </si>
  <si>
    <t>자기자본</t>
  </si>
  <si>
    <t>총자산</t>
  </si>
  <si>
    <t>(최근년도)</t>
  </si>
  <si>
    <t>(회사단위)</t>
  </si>
  <si>
    <t>유동자산</t>
  </si>
  <si>
    <t>유동부채</t>
  </si>
  <si>
    <t>순이익(법인세 차감전)</t>
  </si>
  <si>
    <t>총매출액</t>
  </si>
  <si>
    <t>총자본회전율</t>
  </si>
  <si>
    <t>총자본</t>
  </si>
  <si>
    <t>합계금액(A)</t>
  </si>
  <si>
    <t>합계금액(B)</t>
  </si>
  <si>
    <t>3차년</t>
  </si>
  <si>
    <t>투자액</t>
  </si>
  <si>
    <t>2차년</t>
  </si>
  <si>
    <t>1차년</t>
  </si>
  <si>
    <t> 3. 검토기준</t>
  </si>
  <si>
    <t xml:space="preserve">   가. 결산서 작성사유   : </t>
  </si>
  <si>
    <t xml:space="preserve">   나. 결산서의 종류     : </t>
  </si>
  <si>
    <t xml:space="preserve">   다. 결산서 작성년월일 : </t>
  </si>
  <si>
    <t>   라. 기타</t>
  </si>
  <si>
    <t xml:space="preserve">                        주  소  : </t>
  </si>
  <si>
    <t>                        공인회계사, 세무사 :                    (인)</t>
  </si>
  <si>
    <t>년수</t>
    <phoneticPr fontId="4" type="noConversion"/>
  </si>
  <si>
    <t>비 고</t>
    <phoneticPr fontId="4" type="noConversion"/>
  </si>
  <si>
    <t>구  분</t>
    <phoneticPr fontId="4" type="noConversion"/>
  </si>
  <si>
    <t>합 계(총일수/365일: 소수셋째자리에서 반올림)</t>
    <phoneticPr fontId="4" type="noConversion"/>
  </si>
  <si>
    <t>발주처</t>
    <phoneticPr fontId="4" type="noConversion"/>
  </si>
  <si>
    <t>계</t>
    <phoneticPr fontId="4" type="noConversion"/>
  </si>
  <si>
    <t>배점</t>
    <phoneticPr fontId="4" type="noConversion"/>
  </si>
  <si>
    <t>비고</t>
    <phoneticPr fontId="4" type="noConversion"/>
  </si>
  <si>
    <t>평점
(업체)</t>
    <phoneticPr fontId="4" type="noConversion"/>
  </si>
  <si>
    <t>평가
(LH)</t>
    <phoneticPr fontId="4" type="noConversion"/>
  </si>
  <si>
    <t>구 분</t>
  </si>
  <si>
    <t>감리용역 사업명</t>
  </si>
  <si>
    <t>총    계</t>
  </si>
  <si>
    <t>완
료</t>
    <phoneticPr fontId="4" type="noConversion"/>
  </si>
  <si>
    <t>진
행</t>
    <phoneticPr fontId="4" type="noConversion"/>
  </si>
  <si>
    <t xml:space="preserve">※ 증빙서류 : </t>
    <phoneticPr fontId="4" type="noConversion"/>
  </si>
  <si>
    <t>산  출  근  거</t>
  </si>
  <si>
    <t>계산비율(%)</t>
  </si>
  <si>
    <t>*자기자본비율(%)</t>
  </si>
  <si>
    <t>회사명(B)</t>
  </si>
  <si>
    <t>〃</t>
  </si>
  <si>
    <t>*유동자산비율(%)</t>
  </si>
  <si>
    <t>결과</t>
    <phoneticPr fontId="4" type="noConversion"/>
  </si>
  <si>
    <t>자기자본비율(A)</t>
    <phoneticPr fontId="4" type="noConversion"/>
  </si>
  <si>
    <t>자본비율
(A)/(B)*100</t>
    <phoneticPr fontId="4" type="noConversion"/>
  </si>
  <si>
    <t>평균유동비율(B)</t>
    <phoneticPr fontId="4" type="noConversion"/>
  </si>
  <si>
    <t>유동비율
(A)/(B)*100</t>
    <phoneticPr fontId="4" type="noConversion"/>
  </si>
  <si>
    <t>실용실안</t>
    <phoneticPr fontId="4" type="noConversion"/>
  </si>
  <si>
    <t>구분</t>
    <phoneticPr fontId="4" type="noConversion"/>
  </si>
  <si>
    <t>구  분</t>
  </si>
  <si>
    <t>현장 배치현황</t>
  </si>
  <si>
    <t>현 장 명</t>
  </si>
  <si>
    <t>평점
(업체)</t>
    <phoneticPr fontId="4" type="noConversion"/>
  </si>
  <si>
    <t>평가
(LH)</t>
    <phoneticPr fontId="4" type="noConversion"/>
  </si>
  <si>
    <t>점  수  계  산</t>
  </si>
  <si>
    <t>점  수</t>
  </si>
  <si>
    <t>평가
(LH)</t>
    <phoneticPr fontId="4" type="noConversion"/>
  </si>
  <si>
    <t>교체빈도
(%)</t>
    <phoneticPr fontId="4" type="noConversion"/>
  </si>
  <si>
    <t>최근1년간 감리현장에서 교체한
현장명</t>
    <phoneticPr fontId="4" type="noConversion"/>
  </si>
  <si>
    <t>직책</t>
    <phoneticPr fontId="4" type="noConversion"/>
  </si>
  <si>
    <t>상주</t>
    <phoneticPr fontId="4" type="noConversion"/>
  </si>
  <si>
    <t>비상주</t>
    <phoneticPr fontId="4" type="noConversion"/>
  </si>
  <si>
    <t>순번</t>
    <phoneticPr fontId="4" type="noConversion"/>
  </si>
  <si>
    <t>용역명</t>
    <phoneticPr fontId="4" type="noConversion"/>
  </si>
  <si>
    <t>용역기간</t>
    <phoneticPr fontId="4" type="noConversion"/>
  </si>
  <si>
    <t>용역금액</t>
    <phoneticPr fontId="4" type="noConversion"/>
  </si>
  <si>
    <t>용역금액
(부가가치세 제외)</t>
    <phoneticPr fontId="4" type="noConversion"/>
  </si>
  <si>
    <t>최근 5년간 업체실적 합계금액</t>
    <phoneticPr fontId="4" type="noConversion"/>
  </si>
  <si>
    <t>당해용역 추정가격(A)</t>
    <phoneticPr fontId="4" type="noConversion"/>
  </si>
  <si>
    <t>최근 5년간 업체실적(B)</t>
    <phoneticPr fontId="4" type="noConversion"/>
  </si>
  <si>
    <t>비율(B/A)</t>
    <phoneticPr fontId="4" type="noConversion"/>
  </si>
  <si>
    <t>최근 5년간 실적합계액 집계표</t>
    <phoneticPr fontId="4" type="noConversion"/>
  </si>
  <si>
    <t>작성전 필독사항!!</t>
    <phoneticPr fontId="4" type="noConversion"/>
  </si>
  <si>
    <t>[업체 실적 관련 안내]
최근 5년간 실적합계액 집계표는
입찰참가자격(공고문 참조)이며,
유사용역수행실적(최근 3년간 실적)과는
별개로 작성하셔야 합니다!!</t>
    <phoneticPr fontId="4" type="noConversion"/>
  </si>
  <si>
    <t>한국전력</t>
    <phoneticPr fontId="4" type="noConversion"/>
  </si>
  <si>
    <t>감리용역 참여신청서</t>
    <phoneticPr fontId="4" type="noConversion"/>
  </si>
  <si>
    <t>00 지장송전선로 이설공사 감리용역</t>
    <phoneticPr fontId="4" type="noConversion"/>
  </si>
  <si>
    <t>2010/01/01
2011/12/31</t>
    <phoneticPr fontId="4" type="noConversion"/>
  </si>
  <si>
    <t xml:space="preserve">입찰자(작성자) : </t>
    <phoneticPr fontId="4" type="noConversion"/>
  </si>
  <si>
    <t>업체명 : ㈜</t>
    <phoneticPr fontId="4" type="noConversion"/>
  </si>
  <si>
    <t>대표자 :        (인)</t>
    <phoneticPr fontId="4" type="noConversion"/>
  </si>
  <si>
    <t>회사명(A)</t>
  </si>
  <si>
    <t>회사명(A)</t>
    <phoneticPr fontId="4" type="noConversion"/>
  </si>
  <si>
    <t>자기자본비율/한은발표평균자기자본비율</t>
  </si>
  <si>
    <t xml:space="preserve">*100*지분율 = </t>
    <phoneticPr fontId="4" type="noConversion"/>
  </si>
  <si>
    <t>유동비율/한은발표평균유동비율</t>
  </si>
  <si>
    <t xml:space="preserve">*100*지분율 = </t>
  </si>
  <si>
    <t xml:space="preserve">  A사  40% + B사 37% = 77% </t>
  </si>
  <si>
    <t xml:space="preserve">  A사 140% + B사 90% = 230% </t>
  </si>
  <si>
    <t xml:space="preserve">회 사 명 : </t>
    <phoneticPr fontId="4" type="noConversion"/>
  </si>
  <si>
    <t xml:space="preserve"> </t>
    <phoneticPr fontId="4" type="noConversion"/>
  </si>
  <si>
    <t>대 표 자 :</t>
    <phoneticPr fontId="4" type="noConversion"/>
  </si>
  <si>
    <t>작 성 자 :</t>
    <phoneticPr fontId="4" type="noConversion"/>
  </si>
  <si>
    <t>보조
감리원</t>
    <phoneticPr fontId="4" type="noConversion"/>
  </si>
  <si>
    <t xml:space="preserve"> 붙  임 : 1. 입찰참가자격 관련서류(감리업등록증 사본 등) 1부.</t>
    <phoneticPr fontId="4" type="noConversion"/>
  </si>
  <si>
    <t>- 업체별 점수
  계산 후 지분
  율에 따라 합
  산하여 기재</t>
    <phoneticPr fontId="4" type="noConversion"/>
  </si>
  <si>
    <t>- 지분율에 따라
  합산 후 
  해당점수 기재</t>
    <phoneticPr fontId="4" type="noConversion"/>
  </si>
  <si>
    <t>입찰불참</t>
    <phoneticPr fontId="4" type="noConversion"/>
  </si>
  <si>
    <t>[양식 8-1]</t>
    <phoneticPr fontId="4" type="noConversion"/>
  </si>
  <si>
    <t>전기1</t>
    <phoneticPr fontId="4" type="noConversion"/>
  </si>
  <si>
    <t>입찰공고일</t>
    <phoneticPr fontId="4" type="noConversion"/>
  </si>
  <si>
    <t>감리원</t>
    <phoneticPr fontId="4" type="noConversion"/>
  </si>
  <si>
    <t>기술개발 투자실적</t>
    <phoneticPr fontId="4" type="noConversion"/>
  </si>
  <si>
    <t>최근 3년간 투자실적비율</t>
    <phoneticPr fontId="4" type="noConversion"/>
  </si>
  <si>
    <t xml:space="preserve">공고일: </t>
    <phoneticPr fontId="4" type="noConversion"/>
  </si>
  <si>
    <r>
      <t xml:space="preserve">※ 이행이 완료된 용역으로서 154kV 이상의 공중 </t>
    </r>
    <r>
      <rPr>
        <b/>
        <sz val="12"/>
        <rFont val="돋움"/>
        <family val="3"/>
        <charset val="129"/>
      </rPr>
      <t>∙</t>
    </r>
    <r>
      <rPr>
        <b/>
        <sz val="12"/>
        <rFont val="굴림"/>
        <family val="3"/>
        <charset val="129"/>
      </rPr>
      <t xml:space="preserve"> 지중송전선로공사 감리용역에 한해 실적으로
    인정되며, 송전전압(kV) 표기와 T/L 또는 송전 구분여부 표기가 명확하지 않을 경우 실적으로  
    인정되지 않음을 유의하시기 바랍니다.</t>
    </r>
    <phoneticPr fontId="4" type="noConversion"/>
  </si>
  <si>
    <t>※ 별첨 : 실적증빙자료 (관련 협회자료 또는 발주청 확인서(직인포함))</t>
    <phoneticPr fontId="4" type="noConversion"/>
  </si>
  <si>
    <t>2022.  6.    .</t>
    <phoneticPr fontId="4" type="noConversion"/>
  </si>
  <si>
    <t>소  계</t>
    <phoneticPr fontId="4" type="noConversion"/>
  </si>
  <si>
    <t>전기3</t>
    <phoneticPr fontId="4" type="noConversion"/>
  </si>
  <si>
    <t>회사명</t>
    <phoneticPr fontId="4" type="noConversion"/>
  </si>
  <si>
    <t>사업(법인)등록번호</t>
    <phoneticPr fontId="4" type="noConversion"/>
  </si>
  <si>
    <t>자기자본비율</t>
  </si>
  <si>
    <t>매출액
순이익율</t>
    <phoneticPr fontId="4" type="noConversion"/>
  </si>
  <si>
    <t>기술개발투자
실적
(최근 3년)</t>
    <phoneticPr fontId="4" type="noConversion"/>
  </si>
  <si>
    <t>A÷B
(%)</t>
    <phoneticPr fontId="4" type="noConversion"/>
  </si>
  <si>
    <t>※ 비고 : 결산서의 종류에 대한 세부기준은 주기에 따른다.</t>
    <phoneticPr fontId="4" type="noConversion"/>
  </si>
  <si>
    <t>     상기 내용은 위 기재회사의 결산서에 따라 공인회계사(｢주식회사의 외부감사에 관한 법률｣에 따라 반기검토보고서 작성절차 또는 감사보고서 작성절차를 거쳐 작성한 것에 한함)나 세무사(｢세무사법｣ 제2조제7호에 따라 본인이 작성한 것에 한함)가 작성하였음을 확인하며 이 재무상태 검토보고서를 제출합니다.</t>
  </si>
  <si>
    <t xml:space="preserve">                                              년     월     일</t>
    <phoneticPr fontId="4" type="noConversion"/>
  </si>
  <si>
    <t xml:space="preserve">                        상  호  : </t>
    <phoneticPr fontId="4" type="noConversion"/>
  </si>
  <si>
    <t xml:space="preserve">                        연락처 : </t>
    <phoneticPr fontId="4" type="noConversion"/>
  </si>
  <si>
    <t>업체등록번호</t>
    <phoneticPr fontId="4" type="noConversion"/>
  </si>
  <si>
    <r>
      <t> o</t>
    </r>
    <r>
      <rPr>
        <sz val="12"/>
        <color indexed="8"/>
        <rFont val="맑은 고딕"/>
        <family val="3"/>
        <charset val="129"/>
      </rPr>
      <t xml:space="preserve"> 자기자본비율 및 유동자산비율(평가 후 공동도급비율에 의한 합산평가)</t>
    </r>
    <phoneticPr fontId="4" type="noConversion"/>
  </si>
  <si>
    <t>유동자산비율</t>
    <phoneticPr fontId="4" type="noConversion"/>
  </si>
  <si>
    <r>
      <t> ※ 재정상태는 관련 협회가 발행한 최근년도의 재정실태가 반영된 공사감리용역 수행현황확인서 또는 해당 감리업체가 결산서에 따라 공인회계사 또는 세무사가 관계법령에 의하여 작성</t>
    </r>
    <r>
      <rPr>
        <sz val="10"/>
        <color indexed="8"/>
        <rFont val="맑은 고딕"/>
        <family val="3"/>
        <charset val="129"/>
      </rPr>
      <t>·</t>
    </r>
    <r>
      <rPr>
        <sz val="10"/>
        <color indexed="8"/>
        <rFont val="맑은 고딕"/>
        <family val="3"/>
        <charset val="129"/>
      </rPr>
      <t>확인한 재정상태 검토보고서[양식 8-2]로 확인한다.</t>
    </r>
    <phoneticPr fontId="4" type="noConversion"/>
  </si>
  <si>
    <t xml:space="preserve">2.             </t>
    <phoneticPr fontId="4" type="noConversion"/>
  </si>
  <si>
    <t>색 표시부분에 자료입력</t>
    <phoneticPr fontId="4" type="noConversion"/>
  </si>
  <si>
    <t>순번</t>
    <phoneticPr fontId="4" type="noConversion"/>
  </si>
  <si>
    <t>구 분</t>
    <phoneticPr fontId="4" type="noConversion"/>
  </si>
  <si>
    <t>내 용</t>
    <phoneticPr fontId="4" type="noConversion"/>
  </si>
  <si>
    <t>비 고</t>
    <phoneticPr fontId="4" type="noConversion"/>
  </si>
  <si>
    <t>1</t>
    <phoneticPr fontId="4" type="noConversion"/>
  </si>
  <si>
    <r>
      <t xml:space="preserve">색 표시부분은 LH확인용으로 </t>
    </r>
    <r>
      <rPr>
        <b/>
        <sz val="11.5"/>
        <rFont val="맑은 고딕"/>
        <family val="3"/>
        <charset val="129"/>
      </rPr>
      <t>자료입력 금지</t>
    </r>
    <phoneticPr fontId="4" type="noConversion"/>
  </si>
  <si>
    <t xml:space="preserve">   경우에는 평가기준에 의해 감점됨을 유의하여 필히 가격입찰에 참여하시기 바랍니다.</t>
    <phoneticPr fontId="4" type="noConversion"/>
  </si>
  <si>
    <t>용 역 명</t>
    <phoneticPr fontId="4" type="noConversion"/>
  </si>
  <si>
    <t>당해용역 설계금액</t>
    <phoneticPr fontId="4" type="noConversion"/>
  </si>
  <si>
    <t>[양식 2]</t>
    <phoneticPr fontId="4" type="noConversion"/>
  </si>
  <si>
    <t xml:space="preserve"> 참  조 : (계약처장)</t>
    <phoneticPr fontId="4" type="noConversion"/>
  </si>
  <si>
    <t xml:space="preserve"> 다음 용역에 참여코자 사업수행능력 평가를 붙임과 같이 제출합니다.</t>
    <phoneticPr fontId="4" type="noConversion"/>
  </si>
  <si>
    <t xml:space="preserve">            2. 사업자등록증사본 1부.</t>
    <phoneticPr fontId="4" type="noConversion"/>
  </si>
  <si>
    <t xml:space="preserve">            3. 등기사항전부증명서(말소사항포함) 1부.</t>
    <phoneticPr fontId="4" type="noConversion"/>
  </si>
  <si>
    <t xml:space="preserve">            4. 인감증명서 및 사용인감계 1부.</t>
    <phoneticPr fontId="4" type="noConversion"/>
  </si>
  <si>
    <t xml:space="preserve">(사업자번호 : </t>
    <phoneticPr fontId="4" type="noConversion"/>
  </si>
  <si>
    <t>)</t>
    <phoneticPr fontId="4" type="noConversion"/>
  </si>
  <si>
    <t>(FAX   :</t>
    <phoneticPr fontId="4" type="noConversion"/>
  </si>
  <si>
    <t>(E-Mail:</t>
    <phoneticPr fontId="4" type="noConversion"/>
  </si>
  <si>
    <t>3. 본 평가표 상의 오류 발생 시 LH평가기준 내용이 우선 시 됨</t>
    <phoneticPr fontId="4" type="noConversion"/>
  </si>
  <si>
    <t>공동계약 허용여부</t>
    <phoneticPr fontId="4" type="noConversion"/>
  </si>
  <si>
    <t>공동계약 해당여부</t>
    <phoneticPr fontId="4" type="noConversion"/>
  </si>
  <si>
    <t>업 체 명</t>
    <phoneticPr fontId="4" type="noConversion"/>
  </si>
  <si>
    <t>AAAA엔지니어링</t>
    <phoneticPr fontId="4" type="noConversion"/>
  </si>
  <si>
    <t>경과
기간</t>
    <phoneticPr fontId="4" type="noConversion"/>
  </si>
  <si>
    <t>적용
비율</t>
    <phoneticPr fontId="4" type="noConversion"/>
  </si>
  <si>
    <t>출원
인수</t>
    <phoneticPr fontId="4" type="noConversion"/>
  </si>
  <si>
    <t>OOO</t>
    <phoneticPr fontId="4" type="noConversion"/>
  </si>
  <si>
    <t>[단위 : 백만원]</t>
    <phoneticPr fontId="4" type="noConversion"/>
  </si>
  <si>
    <t>시작일</t>
    <phoneticPr fontId="4" type="noConversion"/>
  </si>
  <si>
    <t>종료일</t>
    <phoneticPr fontId="4" type="noConversion"/>
  </si>
  <si>
    <t>신기술 인증</t>
    <phoneticPr fontId="4" type="noConversion"/>
  </si>
  <si>
    <t>전력기술개발
투자액</t>
    <phoneticPr fontId="4" type="noConversion"/>
  </si>
  <si>
    <t xml:space="preserve">  4. 기술개발 및 투자실적[10점]</t>
    <phoneticPr fontId="4" type="noConversion"/>
  </si>
  <si>
    <t>합 계</t>
    <phoneticPr fontId="4" type="noConversion"/>
  </si>
  <si>
    <t>이순신</t>
    <phoneticPr fontId="4" type="noConversion"/>
  </si>
  <si>
    <t>안중근</t>
    <phoneticPr fontId="4" type="noConversion"/>
  </si>
  <si>
    <t>1. 참여감리원[50점]</t>
    <phoneticPr fontId="4" type="noConversion"/>
  </si>
  <si>
    <r>
      <t xml:space="preserve">평 가
</t>
    </r>
    <r>
      <rPr>
        <b/>
        <sz val="10"/>
        <color indexed="12"/>
        <rFont val="맑은 고딕"/>
        <family val="3"/>
        <charset val="129"/>
      </rPr>
      <t>(LH)</t>
    </r>
    <phoneticPr fontId="4" type="noConversion"/>
  </si>
  <si>
    <t>담당업무</t>
    <phoneticPr fontId="4" type="noConversion"/>
  </si>
  <si>
    <t>적용일수</t>
    <phoneticPr fontId="4" type="noConversion"/>
  </si>
  <si>
    <t>연번</t>
    <phoneticPr fontId="4" type="noConversion"/>
  </si>
  <si>
    <t>평 점
(업체)</t>
    <phoneticPr fontId="4" type="noConversion"/>
  </si>
  <si>
    <t>평 가
(LH)</t>
    <phoneticPr fontId="4" type="noConversion"/>
  </si>
  <si>
    <t xml:space="preserve">            5. 자기평가서(PDF파일, 엑셀파일 포함) 1부.</t>
    <phoneticPr fontId="4" type="noConversion"/>
  </si>
  <si>
    <t xml:space="preserve">  3. 신용도 평가 [10점]</t>
    <phoneticPr fontId="4" type="noConversion"/>
  </si>
  <si>
    <t>감점</t>
    <phoneticPr fontId="4" type="noConversion"/>
  </si>
  <si>
    <t>02-6935-2453</t>
    <phoneticPr fontId="8" type="noConversion"/>
  </si>
  <si>
    <t>이름</t>
    <phoneticPr fontId="4" type="noConversion"/>
  </si>
  <si>
    <t>출생연월</t>
    <phoneticPr fontId="4" type="noConversion"/>
  </si>
  <si>
    <t>배치(예정)일</t>
    <phoneticPr fontId="4" type="noConversion"/>
  </si>
  <si>
    <t>입찰참여업체 참여감리원 현황</t>
    <phoneticPr fontId="4" type="noConversion"/>
  </si>
  <si>
    <t xml:space="preserve">업 체 명 : </t>
    <phoneticPr fontId="4" type="noConversion"/>
  </si>
  <si>
    <t>입찰공고일</t>
    <phoneticPr fontId="4" type="noConversion"/>
  </si>
  <si>
    <t>3년간 실적인정기간</t>
    <phoneticPr fontId="4" type="noConversion"/>
  </si>
  <si>
    <t>최초출원일
(최초지정일)</t>
    <phoneticPr fontId="4" type="noConversion"/>
  </si>
  <si>
    <r>
      <t>회 사</t>
    </r>
    <r>
      <rPr>
        <b/>
        <sz val="10"/>
        <rFont val="맑은 고딕"/>
        <family val="3"/>
        <charset val="129"/>
      </rPr>
      <t xml:space="preserve"> 명</t>
    </r>
    <phoneticPr fontId="4" type="noConversion"/>
  </si>
  <si>
    <t>5. 업무중첩도[10점]</t>
    <phoneticPr fontId="4" type="noConversion"/>
  </si>
  <si>
    <t>회 사 명</t>
    <phoneticPr fontId="4" type="noConversion"/>
  </si>
  <si>
    <t>현 장</t>
    <phoneticPr fontId="4" type="noConversion"/>
  </si>
  <si>
    <t>건수</t>
    <phoneticPr fontId="4" type="noConversion"/>
  </si>
  <si>
    <t>감점</t>
    <phoneticPr fontId="4" type="noConversion"/>
  </si>
  <si>
    <t>구  분</t>
    <phoneticPr fontId="4" type="noConversion"/>
  </si>
  <si>
    <t>7. 작업계획 및 기법[5점]</t>
    <phoneticPr fontId="4" type="noConversion"/>
  </si>
  <si>
    <t>작성항목</t>
    <phoneticPr fontId="4" type="noConversion"/>
  </si>
  <si>
    <t>(다) 감리원의 업무수행능력 제고를 위한 본사의 업무지원 체계</t>
    <phoneticPr fontId="4" type="noConversion"/>
  </si>
  <si>
    <t>(라) 감리원의 투명성 제고방안</t>
    <phoneticPr fontId="4" type="noConversion"/>
  </si>
  <si>
    <t>(마) 감리원의 현장운영방안</t>
    <phoneticPr fontId="4" type="noConversion"/>
  </si>
  <si>
    <t>5개 항목 모두 작성(작성항목과 동일한 제목과 순서로 작성)</t>
    <phoneticPr fontId="4" type="noConversion"/>
  </si>
  <si>
    <t>작성분량(15 page) 준수(표지 및 목차 제외)</t>
    <phoneticPr fontId="4" type="noConversion"/>
  </si>
  <si>
    <t xml:space="preserve">   </t>
    <phoneticPr fontId="4" type="noConversion"/>
  </si>
  <si>
    <t>확인사항</t>
    <phoneticPr fontId="4" type="noConversion"/>
  </si>
  <si>
    <r>
      <t>상기 자기평가서는 공사의 감리용역 사업수행능력평가서에서 정한 제반 규정을 숙지하고 동 규정에 적합하게 작성ㆍ제출 되었고, 참여시 제출된 사업수행능력 평가서류는 교체 불가능함을 확인하며, 특히 신청자 평점 중 “</t>
    </r>
    <r>
      <rPr>
        <b/>
        <sz val="10"/>
        <color indexed="8"/>
        <rFont val="맑은 고딕"/>
        <family val="3"/>
        <charset val="129"/>
      </rPr>
      <t>허위ㆍ거짓 등</t>
    </r>
    <r>
      <rPr>
        <sz val="10"/>
        <color indexed="8"/>
        <rFont val="맑은 고딕"/>
        <family val="3"/>
        <charset val="129"/>
      </rPr>
      <t>”의 방법에 의하여 작성된 경우에는 관련규정에 의거 입찰제한 등의 불이익을 받을 수 있음을 확인합니다.</t>
    </r>
    <phoneticPr fontId="4" type="noConversion"/>
  </si>
  <si>
    <t>소계</t>
    <phoneticPr fontId="4" type="noConversion"/>
  </si>
  <si>
    <t>실적</t>
    <phoneticPr fontId="4" type="noConversion"/>
  </si>
  <si>
    <r>
      <t xml:space="preserve">자기평가
평 점
</t>
    </r>
    <r>
      <rPr>
        <b/>
        <sz val="10"/>
        <color indexed="10"/>
        <rFont val="맑은 고딕"/>
        <family val="3"/>
        <charset val="129"/>
      </rPr>
      <t>(용역업체)</t>
    </r>
    <phoneticPr fontId="4" type="noConversion"/>
  </si>
  <si>
    <r>
      <t xml:space="preserve">심사부서
평 점
</t>
    </r>
    <r>
      <rPr>
        <b/>
        <sz val="10"/>
        <color indexed="12"/>
        <rFont val="맑은 고딕"/>
        <family val="3"/>
        <charset val="129"/>
      </rPr>
      <t>(LH)</t>
    </r>
    <phoneticPr fontId="4" type="noConversion"/>
  </si>
  <si>
    <t>준수</t>
  </si>
  <si>
    <t>주     소 :</t>
    <phoneticPr fontId="4" type="noConversion"/>
  </si>
  <si>
    <t>참여감리원</t>
    <phoneticPr fontId="4" type="noConversion"/>
  </si>
  <si>
    <t>작성완료</t>
  </si>
  <si>
    <t xml:space="preserve">              기술자 경력 및 유사용역 해당 건에 형광펜 표기, 경력증명서 해당경력 연번 부여</t>
    <phoneticPr fontId="4" type="noConversion"/>
  </si>
  <si>
    <t>※ 전자조달(e-bid) 업무중첩도 관련 게시용으로 정확히 작성</t>
    <phoneticPr fontId="4" type="noConversion"/>
  </si>
  <si>
    <r>
      <t xml:space="preserve">   (당해용역 참여기술인력 수에 맞추어 </t>
    </r>
    <r>
      <rPr>
        <sz val="11"/>
        <rFont val="맑은 고딕"/>
        <family val="3"/>
        <charset val="129"/>
      </rPr>
      <t>양식 수정</t>
    </r>
    <r>
      <rPr>
        <sz val="11"/>
        <rFont val="맑은 고딕"/>
        <family val="3"/>
        <charset val="129"/>
      </rPr>
      <t>)</t>
    </r>
    <phoneticPr fontId="4" type="noConversion"/>
  </si>
  <si>
    <t> ※ 공동이행의 경우 용역참여 지분율을 곱하여 산정 후 합산하여 산출</t>
    <phoneticPr fontId="4" type="noConversion"/>
  </si>
  <si>
    <t>※ 기타사항</t>
    <phoneticPr fontId="4" type="noConversion"/>
  </si>
  <si>
    <r>
      <t xml:space="preserve"> </t>
    </r>
    <r>
      <rPr>
        <sz val="11"/>
        <rFont val="맑은 고딕"/>
        <family val="3"/>
        <charset val="129"/>
      </rPr>
      <t xml:space="preserve"> ㅇ엑셀파일 경력세부내용 연번란에는 증빙서류와 대조가 용이하도록 경력확인서 번호를 표기합니다.</t>
    </r>
    <phoneticPr fontId="4" type="noConversion"/>
  </si>
  <si>
    <r>
      <t xml:space="preserve"> </t>
    </r>
    <r>
      <rPr>
        <sz val="11"/>
        <rFont val="맑은 고딕"/>
        <family val="3"/>
        <charset val="129"/>
      </rPr>
      <t xml:space="preserve"> ㅇ책자 및 파일의 첨부자료는 평가항목(제출서류 목록표) 순서대로 일목 요연하게 연번 라벨을 붙여 제출합니다.</t>
    </r>
    <phoneticPr fontId="4" type="noConversion"/>
  </si>
  <si>
    <t>※ 증빙서류 :</t>
    <phoneticPr fontId="4" type="noConversion"/>
  </si>
  <si>
    <t xml:space="preserve">  ㅇ신기술 인증서, 특허 및 실용신안등록증(등록원부도 포함) 사본 (특허청 발급 최초출원인 확인서류 제출)</t>
    <phoneticPr fontId="4" type="noConversion"/>
  </si>
  <si>
    <t xml:space="preserve">    [최근 1개월 이내에 관할기관에서 발행한 등록원부 및 최초출원인 확인서를 제출(미제출 및 발행일이 1개월 초과된 확인서는 평가대상에서 제외)]</t>
    <phoneticPr fontId="4" type="noConversion"/>
  </si>
  <si>
    <t xml:space="preserve">  ㅇ경력확인서의 참여분야, 직무분야, 담당분야, 담당업무, 발주자 등 해당란에 명확히 기재된 용역만 인정되며, </t>
    <phoneticPr fontId="4" type="noConversion"/>
  </si>
  <si>
    <t xml:space="preserve">     한 항목이라도 누락 또는 2개이상 기재된 경우 평가에서 제외합니다.</t>
    <phoneticPr fontId="4" type="noConversion"/>
  </si>
  <si>
    <r>
      <rPr>
        <b/>
        <sz val="15"/>
        <rFont val="맑은 고딕"/>
        <family val="3"/>
        <charset val="129"/>
      </rPr>
      <t>「주택건설공사</t>
    </r>
    <r>
      <rPr>
        <b/>
        <sz val="15"/>
        <rFont val="맑은 고딕"/>
        <family val="3"/>
        <charset val="129"/>
      </rPr>
      <t>(전기) 감리용역 사업수행능력평가」 신청서 작성요령</t>
    </r>
    <phoneticPr fontId="4" type="noConversion"/>
  </si>
  <si>
    <t>- 추정가격</t>
    <phoneticPr fontId="4" type="noConversion"/>
  </si>
  <si>
    <t>- 부가가치세</t>
    <phoneticPr fontId="4" type="noConversion"/>
  </si>
  <si>
    <t>세대수</t>
    <phoneticPr fontId="4" type="noConversion"/>
  </si>
  <si>
    <t xml:space="preserve"> - 경력 및 실적용 규모</t>
    <phoneticPr fontId="4" type="noConversion"/>
  </si>
  <si>
    <t>당해 주택건설공사 감리용역 개요</t>
    <phoneticPr fontId="4" type="noConversion"/>
  </si>
  <si>
    <t>당해공사 설계금액</t>
    <phoneticPr fontId="4" type="noConversion"/>
  </si>
  <si>
    <t>- 부가가치세</t>
    <phoneticPr fontId="4" type="noConversion"/>
  </si>
  <si>
    <t>구분</t>
    <phoneticPr fontId="4" type="noConversion"/>
  </si>
  <si>
    <t>분야</t>
    <phoneticPr fontId="4" type="noConversion"/>
  </si>
  <si>
    <t>직책</t>
    <phoneticPr fontId="4" type="noConversion"/>
  </si>
  <si>
    <t>배치일
(예정)</t>
    <phoneticPr fontId="4" type="noConversion"/>
  </si>
  <si>
    <t>상주</t>
    <phoneticPr fontId="4" type="noConversion"/>
  </si>
  <si>
    <t>비상주</t>
    <phoneticPr fontId="4" type="noConversion"/>
  </si>
  <si>
    <t>책임</t>
    <phoneticPr fontId="4" type="noConversion"/>
  </si>
  <si>
    <t>보조</t>
    <phoneticPr fontId="4" type="noConversion"/>
  </si>
  <si>
    <t>기술지원</t>
    <phoneticPr fontId="4" type="noConversion"/>
  </si>
  <si>
    <r>
      <t>총 배치인원</t>
    </r>
    <r>
      <rPr>
        <sz val="10"/>
        <rFont val="맑은 고딕"/>
        <family val="3"/>
        <charset val="129"/>
      </rPr>
      <t xml:space="preserve"> 수</t>
    </r>
    <phoneticPr fontId="4" type="noConversion"/>
  </si>
  <si>
    <t>특급</t>
  </si>
  <si>
    <t>등급
(전력기술관리법)</t>
    <phoneticPr fontId="4" type="noConversion"/>
  </si>
  <si>
    <t xml:space="preserve"> 제  목 : 전기공사 감리용역 사업수행능력 평가서 제출</t>
    <phoneticPr fontId="4" type="noConversion"/>
  </si>
  <si>
    <t xml:space="preserve">2024.00.00.     </t>
    <phoneticPr fontId="4" type="noConversion"/>
  </si>
  <si>
    <t>한  국  토  지  주  택  공  사     사  장   귀  하</t>
    <phoneticPr fontId="4" type="noConversion"/>
  </si>
  <si>
    <t>경력 및 실적</t>
    <phoneticPr fontId="4" type="noConversion"/>
  </si>
  <si>
    <t>평가요소</t>
    <phoneticPr fontId="4" type="noConversion"/>
  </si>
  <si>
    <t>평가
항목</t>
    <phoneticPr fontId="4" type="noConversion"/>
  </si>
  <si>
    <t>1.
참여
감리원</t>
    <phoneticPr fontId="4" type="noConversion"/>
  </si>
  <si>
    <t>감리분야 경력</t>
    <phoneticPr fontId="4" type="noConversion"/>
  </si>
  <si>
    <t>우리공사에서 제시한 등급에 해당되는 기준적용 
실적개월수 및 년수를 구할 때는 소수점이하는 절사하여 명기</t>
    <phoneticPr fontId="4" type="noConversion"/>
  </si>
  <si>
    <t>2
유사용역
수행실적</t>
    <phoneticPr fontId="4" type="noConversion"/>
  </si>
  <si>
    <t>감리업체실적
(공고일 기준 최근3년간)</t>
    <phoneticPr fontId="4" type="noConversion"/>
  </si>
  <si>
    <t>용역 수행성과 평가</t>
    <phoneticPr fontId="4" type="noConversion"/>
  </si>
  <si>
    <t>3.
신용도</t>
    <phoneticPr fontId="4" type="noConversion"/>
  </si>
  <si>
    <t>재정상태 건실도</t>
    <phoneticPr fontId="4" type="noConversion"/>
  </si>
  <si>
    <t xml:space="preserve">5.
업무
중첩도 </t>
    <phoneticPr fontId="4" type="noConversion"/>
  </si>
  <si>
    <t>-다른공사현장(비상주포함)에 중복배치시 평가대상에서 제외</t>
    <phoneticPr fontId="4" type="noConversion"/>
  </si>
  <si>
    <t>6.
교체빈도</t>
    <phoneticPr fontId="4" type="noConversion"/>
  </si>
  <si>
    <t>과업수행계획</t>
    <phoneticPr fontId="4" type="noConversion"/>
  </si>
  <si>
    <t>작업기법</t>
    <phoneticPr fontId="4" type="noConversion"/>
  </si>
  <si>
    <t>8.
가점 및 감점</t>
    <phoneticPr fontId="4" type="noConversion"/>
  </si>
  <si>
    <t>지역가점</t>
    <phoneticPr fontId="4" type="noConversion"/>
  </si>
  <si>
    <t>책임감리원 기술자격</t>
    <phoneticPr fontId="4" type="noConversion"/>
  </si>
  <si>
    <t>업체</t>
    <phoneticPr fontId="4" type="noConversion"/>
  </si>
  <si>
    <t>부패행위 관련자</t>
    <phoneticPr fontId="4" type="noConversion"/>
  </si>
  <si>
    <t>당해용역 요구등급</t>
    <phoneticPr fontId="4" type="noConversion"/>
  </si>
  <si>
    <t>규모</t>
    <phoneticPr fontId="4" type="noConversion"/>
  </si>
  <si>
    <t>참여사업명</t>
    <phoneticPr fontId="4" type="noConversion"/>
  </si>
  <si>
    <t>발주자</t>
    <phoneticPr fontId="4" type="noConversion"/>
  </si>
  <si>
    <t>참여분야</t>
    <phoneticPr fontId="4" type="noConversion"/>
  </si>
  <si>
    <t>참여일수</t>
    <phoneticPr fontId="4" type="noConversion"/>
  </si>
  <si>
    <t>ㅇㅇㅇ</t>
    <phoneticPr fontId="4" type="noConversion"/>
  </si>
  <si>
    <t>주거시설</t>
    <phoneticPr fontId="4" type="noConversion"/>
  </si>
  <si>
    <t>100% 인정경력 소계(총일수/365일: 소수셋째자리에서 반올림)</t>
    <phoneticPr fontId="4" type="noConversion"/>
  </si>
  <si>
    <t>경력</t>
    <phoneticPr fontId="4" type="noConversion"/>
  </si>
  <si>
    <t>80% 인정경력 소계(총일수/365일: 소수셋째자리에서 반올림)</t>
    <phoneticPr fontId="4" type="noConversion"/>
  </si>
  <si>
    <t>한국토지주택공사</t>
    <phoneticPr fontId="4" type="noConversion"/>
  </si>
  <si>
    <r>
      <t>경력년수</t>
    </r>
    <r>
      <rPr>
        <b/>
        <sz val="11"/>
        <rFont val="맑은 고딕"/>
        <family val="3"/>
        <charset val="129"/>
      </rPr>
      <t xml:space="preserve"> 및 점수</t>
    </r>
    <phoneticPr fontId="4" type="noConversion"/>
  </si>
  <si>
    <t xml:space="preserve"> 2. 유사용역 수행실적[10점]</t>
    <phoneticPr fontId="4" type="noConversion"/>
  </si>
  <si>
    <t>연면적
(㎡)</t>
    <phoneticPr fontId="4" type="noConversion"/>
  </si>
  <si>
    <t>평가연면적(㎡)</t>
    <phoneticPr fontId="4" type="noConversion"/>
  </si>
  <si>
    <t>용역개요</t>
    <phoneticPr fontId="4" type="noConversion"/>
  </si>
  <si>
    <t>착수</t>
    <phoneticPr fontId="4" type="noConversion"/>
  </si>
  <si>
    <t>준공</t>
    <phoneticPr fontId="4" type="noConversion"/>
  </si>
  <si>
    <t>감리용역수행실적</t>
    <phoneticPr fontId="4" type="noConversion"/>
  </si>
  <si>
    <t>발주처명</t>
    <phoneticPr fontId="4" type="noConversion"/>
  </si>
  <si>
    <t>이행비율
(지분율%)</t>
    <phoneticPr fontId="4" type="noConversion"/>
  </si>
  <si>
    <t>당해용역 규모</t>
    <phoneticPr fontId="4" type="noConversion"/>
  </si>
  <si>
    <t>연면적의 합계실적(단위 : 만㎡)</t>
    <phoneticPr fontId="4" type="noConversion"/>
  </si>
  <si>
    <t>건명</t>
    <phoneticPr fontId="4" type="noConversion"/>
  </si>
  <si>
    <t>합계
(1+2+3년차,%)</t>
    <phoneticPr fontId="4" type="noConversion"/>
  </si>
  <si>
    <t>성명</t>
    <phoneticPr fontId="4" type="noConversion"/>
  </si>
  <si>
    <t>• 중복배치시
  : 0점 및 
   당해용역 
   평가대상에서 
   제외</t>
    <phoneticPr fontId="4" type="noConversion"/>
  </si>
  <si>
    <t>최근 1년간 교체건수</t>
    <phoneticPr fontId="4" type="noConversion"/>
  </si>
  <si>
    <t>6. 교체빈도[5점]</t>
  </si>
  <si>
    <t>ㅁㅁㅁ ㅁㅁㅁㅁ</t>
    <phoneticPr fontId="4" type="noConversion"/>
  </si>
  <si>
    <t>(가) 공사관리계획(감리원 배치계획과 연계하여 작성)
    1) 품질관리계획
    2) 공정관리계획
    3) 안전관리계획</t>
    <phoneticPr fontId="4" type="noConversion"/>
  </si>
  <si>
    <t>(나) 감리용역시행 시 예상문제점 및 대책</t>
    <phoneticPr fontId="4" type="noConversion"/>
  </si>
  <si>
    <t>평가방법</t>
    <phoneticPr fontId="4" type="noConversion"/>
  </si>
  <si>
    <t>작성기준</t>
    <phoneticPr fontId="4" type="noConversion"/>
  </si>
  <si>
    <t>당해용역 행정구역</t>
    <phoneticPr fontId="4" type="noConversion"/>
  </si>
  <si>
    <t>해당 감리업체 행정구역</t>
    <phoneticPr fontId="4" type="noConversion"/>
  </si>
  <si>
    <t>행정구역 등록기간</t>
    <phoneticPr fontId="4" type="noConversion"/>
  </si>
  <si>
    <t>행정구역 등록일</t>
    <phoneticPr fontId="4" type="noConversion"/>
  </si>
  <si>
    <t>6개월 여부</t>
    <phoneticPr fontId="4" type="noConversion"/>
  </si>
  <si>
    <t>가점</t>
    <phoneticPr fontId="4" type="noConversion"/>
  </si>
  <si>
    <t>감리업체명</t>
    <phoneticPr fontId="4" type="noConversion"/>
  </si>
  <si>
    <t>자격종목</t>
    <phoneticPr fontId="4" type="noConversion"/>
  </si>
  <si>
    <t>9.감점[-11]</t>
    <phoneticPr fontId="4" type="noConversion"/>
  </si>
  <si>
    <t>참여업체</t>
    <phoneticPr fontId="4" type="noConversion"/>
  </si>
  <si>
    <t>참여업체 또는 참여감리원</t>
    <phoneticPr fontId="4" type="noConversion"/>
  </si>
  <si>
    <t>누계평균 부실벌점</t>
    <phoneticPr fontId="4" type="noConversion"/>
  </si>
  <si>
    <t xml:space="preserve">감점 점수 </t>
    <phoneticPr fontId="4" type="noConversion"/>
  </si>
  <si>
    <t>입찰불참 업체</t>
    <phoneticPr fontId="4" type="noConversion"/>
  </si>
  <si>
    <t>감점 점수</t>
    <phoneticPr fontId="4" type="noConversion"/>
  </si>
  <si>
    <t>품질 미흡/우수 통지서</t>
    <phoneticPr fontId="4" type="noConversion"/>
  </si>
  <si>
    <t>감점(상쇄) 점수</t>
    <phoneticPr fontId="4" type="noConversion"/>
  </si>
  <si>
    <t>전력기술관리법시행령 제22조제2항 별표3의 규정에 의한 경력</t>
    <phoneticPr fontId="4" type="noConversion"/>
  </si>
  <si>
    <r>
      <t xml:space="preserve">  </t>
    </r>
    <r>
      <rPr>
        <sz val="11"/>
        <rFont val="맑은 고딕"/>
        <family val="3"/>
        <charset val="129"/>
      </rPr>
      <t>ㅇ감리분야</t>
    </r>
    <r>
      <rPr>
        <sz val="11"/>
        <rFont val="맑은 고딕"/>
        <family val="3"/>
        <charset val="129"/>
      </rPr>
      <t xml:space="preserve"> 및 해당분야 경력 확인서류</t>
    </r>
    <phoneticPr fontId="4" type="noConversion"/>
  </si>
  <si>
    <t xml:space="preserve">       [경력확인서에 현재 근무하고 있는 위치(현장명 또는 부서)가 표기되도록 발급]</t>
    <phoneticPr fontId="4" type="noConversion"/>
  </si>
  <si>
    <t xml:space="preserve">       경력확인서 원본(입찰공고일 이후 한국전기기술인협회 발급본)</t>
    <phoneticPr fontId="4" type="noConversion"/>
  </si>
  <si>
    <r>
      <t xml:space="preserve">  </t>
    </r>
    <r>
      <rPr>
        <sz val="11"/>
        <rFont val="맑은 고딕"/>
        <family val="3"/>
        <charset val="129"/>
      </rPr>
      <t>ㅇ참여분야</t>
    </r>
    <r>
      <rPr>
        <sz val="11"/>
        <rFont val="맑은 고딕"/>
        <family val="3"/>
        <charset val="129"/>
      </rPr>
      <t xml:space="preserve"> 직무실적 확인서류</t>
    </r>
    <phoneticPr fontId="4" type="noConversion"/>
  </si>
  <si>
    <t xml:space="preserve">       한국전기기술인협회에서 입찰공고일 이후 발급받은 동일분야 및 유사한 용역(공고시 별도 제시)에 대한 경력확인서(원본) 제출</t>
    <phoneticPr fontId="4" type="noConversion"/>
  </si>
  <si>
    <t>상주감리</t>
  </si>
  <si>
    <t>준공 평가점수</t>
    <phoneticPr fontId="4" type="noConversion"/>
  </si>
  <si>
    <t>평가결과 
통보일</t>
    <phoneticPr fontId="4" type="noConversion"/>
  </si>
  <si>
    <t>평가점수</t>
    <phoneticPr fontId="4" type="noConversion"/>
  </si>
  <si>
    <t>등급</t>
    <phoneticPr fontId="4" type="noConversion"/>
  </si>
  <si>
    <t>착수일</t>
    <phoneticPr fontId="4" type="noConversion"/>
  </si>
  <si>
    <t>완료일</t>
    <phoneticPr fontId="4" type="noConversion"/>
  </si>
  <si>
    <t>수행기간(일)</t>
    <phoneticPr fontId="4" type="noConversion"/>
  </si>
  <si>
    <t>LH 전기공사 감리용역 사업명</t>
    <phoneticPr fontId="4" type="noConversion"/>
  </si>
  <si>
    <t>ㅇㅇㅇㅇ ㅇㅇㅇ ㅇㅇㅇㅇ</t>
    <phoneticPr fontId="4" type="noConversion"/>
  </si>
  <si>
    <t>산술평가 점수</t>
    <phoneticPr fontId="4" type="noConversion"/>
  </si>
  <si>
    <t>환산율
(%)</t>
    <phoneticPr fontId="4" type="noConversion"/>
  </si>
  <si>
    <t xml:space="preserve">  ㅇ감리용역 수행실적 관련</t>
    <phoneticPr fontId="4" type="noConversion"/>
  </si>
  <si>
    <r>
      <t xml:space="preserve">    - </t>
    </r>
    <r>
      <rPr>
        <sz val="11"/>
        <rFont val="맑은 고딕"/>
        <family val="3"/>
        <charset val="129"/>
      </rPr>
      <t>공사감리용역수행현황확인서</t>
    </r>
    <r>
      <rPr>
        <sz val="11"/>
        <rFont val="맑은 고딕"/>
        <family val="3"/>
        <charset val="129"/>
      </rPr>
      <t>(한국전기기술인협회 발급본)</t>
    </r>
    <phoneticPr fontId="4" type="noConversion"/>
  </si>
  <si>
    <t xml:space="preserve">    - LH준공평가결과 공문 및 평가표(양식5-2)</t>
    <phoneticPr fontId="4" type="noConversion"/>
  </si>
  <si>
    <t>1년 기준일</t>
    <phoneticPr fontId="4" type="noConversion"/>
  </si>
  <si>
    <t>일수</t>
    <phoneticPr fontId="4" type="noConversion"/>
  </si>
  <si>
    <t>개월 수 환산(감리업체)</t>
    <phoneticPr fontId="4" type="noConversion"/>
  </si>
  <si>
    <t>개월 수 환산(참여감리원)</t>
    <phoneticPr fontId="4" type="noConversion"/>
  </si>
  <si>
    <t>제재사유</t>
    <phoneticPr fontId="4" type="noConversion"/>
  </si>
  <si>
    <t>제재사유1 작성</t>
    <phoneticPr fontId="4" type="noConversion"/>
  </si>
  <si>
    <t>제재사유2 작성</t>
    <phoneticPr fontId="4" type="noConversion"/>
  </si>
  <si>
    <t>제재사유3 작성</t>
    <phoneticPr fontId="4" type="noConversion"/>
  </si>
  <si>
    <t>제재사유4 작성</t>
    <phoneticPr fontId="4" type="noConversion"/>
  </si>
  <si>
    <t>제재사유5 작성</t>
    <phoneticPr fontId="4" type="noConversion"/>
  </si>
  <si>
    <r>
      <t>정지(제재</t>
    </r>
    <r>
      <rPr>
        <b/>
        <sz val="11"/>
        <rFont val="맑은 고딕"/>
        <family val="3"/>
        <charset val="129"/>
      </rPr>
      <t>)</t>
    </r>
    <r>
      <rPr>
        <b/>
        <sz val="11"/>
        <rFont val="맑은 고딕"/>
        <family val="3"/>
        <charset val="129"/>
      </rPr>
      <t>기간</t>
    </r>
    <phoneticPr fontId="4" type="noConversion"/>
  </si>
  <si>
    <t>평균자기자본비율(B)</t>
    <phoneticPr fontId="4" type="noConversion"/>
  </si>
  <si>
    <t>유동비율(A)</t>
    <phoneticPr fontId="4" type="noConversion"/>
  </si>
  <si>
    <t xml:space="preserve">  ㅇ신용도 관련</t>
    <phoneticPr fontId="4" type="noConversion"/>
  </si>
  <si>
    <r>
      <t xml:space="preserve">    - </t>
    </r>
    <r>
      <rPr>
        <sz val="11"/>
        <rFont val="맑은 고딕"/>
        <family val="3"/>
        <charset val="129"/>
      </rPr>
      <t>각</t>
    </r>
    <r>
      <rPr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경력관리수탁기관의</t>
    </r>
    <r>
      <rPr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제재현황</t>
    </r>
    <r>
      <rPr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부실벌점</t>
    </r>
    <r>
      <rPr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확인서</t>
    </r>
    <phoneticPr fontId="4" type="noConversion"/>
  </si>
  <si>
    <t xml:space="preserve">  ㅇ 재정상태건실도 관련</t>
    <phoneticPr fontId="4" type="noConversion"/>
  </si>
  <si>
    <t xml:space="preserve">      (공인회계사 또는 세무사가 관계법령에 의하여 작성․확인 )</t>
    <phoneticPr fontId="4" type="noConversion"/>
  </si>
  <si>
    <t>취득
점수</t>
    <phoneticPr fontId="4" type="noConversion"/>
  </si>
  <si>
    <t>3년간 실적인정기간</t>
  </si>
  <si>
    <r>
      <t>2</t>
    </r>
    <r>
      <rPr>
        <sz val="10"/>
        <rFont val="맑은 고딕"/>
        <family val="3"/>
        <charset val="129"/>
      </rPr>
      <t>015-01-01</t>
    </r>
    <phoneticPr fontId="4" type="noConversion"/>
  </si>
  <si>
    <r>
      <t>2</t>
    </r>
    <r>
      <rPr>
        <sz val="10"/>
        <rFont val="맑은 고딕"/>
        <family val="3"/>
        <charset val="129"/>
      </rPr>
      <t>014-01-01</t>
    </r>
    <phoneticPr fontId="4" type="noConversion"/>
  </si>
  <si>
    <t xml:space="preserve">  ㅇ공인회계사 또는 세무사의 확인을 받은 최근 3년간 재정(재무)상태 검토보고서, </t>
    <phoneticPr fontId="4" type="noConversion"/>
  </si>
  <si>
    <t>ㅇㅇㅇ….용역</t>
    <phoneticPr fontId="4" type="noConversion"/>
  </si>
  <si>
    <r>
      <t xml:space="preserve">배 치 기 간
</t>
    </r>
    <r>
      <rPr>
        <b/>
        <sz val="7"/>
        <color indexed="8"/>
        <rFont val="맑은 고딕"/>
        <family val="3"/>
        <charset val="129"/>
      </rPr>
      <t>(시작일 입력, 없을시 공란)</t>
    </r>
    <phoneticPr fontId="4" type="noConversion"/>
  </si>
  <si>
    <t xml:space="preserve">  ㅇ감리원 업무중첩도․교체빈도․부실벌점 확인서(한국전기기술인협회 발행)</t>
    <phoneticPr fontId="4" type="noConversion"/>
  </si>
  <si>
    <t xml:space="preserve">  ㅇ발주청(감리원 지정권자)의 확인 서류(해당자에 한함)</t>
    <phoneticPr fontId="4" type="noConversion"/>
  </si>
  <si>
    <t xml:space="preserve">  ㅇ감리원 업무중첩도·교체빈도·부실벌점 확인서(한국전기기술인협회 발행)</t>
    <phoneticPr fontId="4" type="noConversion"/>
  </si>
  <si>
    <t>※ 증빙서류 : 작업계획 및 기법(양식10)</t>
    <phoneticPr fontId="4" type="noConversion"/>
  </si>
  <si>
    <t xml:space="preserve">  ㅇ가점 및 감점(양식11)</t>
    <phoneticPr fontId="4" type="noConversion"/>
  </si>
  <si>
    <t xml:space="preserve">  ㅇ품질 미흡/우수 통지서(한국토지주택공사 발급)</t>
    <phoneticPr fontId="4" type="noConversion"/>
  </si>
  <si>
    <t>영업정지 
및 
자격정지 기간</t>
    <phoneticPr fontId="4" type="noConversion"/>
  </si>
  <si>
    <t>4.
기술개발
및
투자실적</t>
    <phoneticPr fontId="4" type="noConversion"/>
  </si>
  <si>
    <t>책임감리원</t>
    <phoneticPr fontId="4" type="noConversion"/>
  </si>
  <si>
    <t>기술지원감리원
(비상주감리원)</t>
    <phoneticPr fontId="4" type="noConversion"/>
  </si>
  <si>
    <t>7.
작업계획
및 
기법</t>
    <phoneticPr fontId="4" type="noConversion"/>
  </si>
  <si>
    <t xml:space="preserve">  ㅇ기술자 경력확인서의 각 경력별 평가부분에 형광펜 표기</t>
    <phoneticPr fontId="4" type="noConversion"/>
  </si>
  <si>
    <t>업체 실적</t>
    <phoneticPr fontId="4" type="noConversion"/>
  </si>
  <si>
    <t>대표사</t>
    <phoneticPr fontId="4" type="noConversion"/>
  </si>
  <si>
    <t>수급사1</t>
    <phoneticPr fontId="4" type="noConversion"/>
  </si>
  <si>
    <t xml:space="preserve">    → 규격 : A4 용지, 제본은 좌철 (지침 양식1), 평가항목별 간지(색상지) 및 라벨(label) 작성 부착, </t>
    <phoneticPr fontId="4" type="noConversion"/>
  </si>
  <si>
    <r>
      <rPr>
        <b/>
        <sz val="11"/>
        <color indexed="10"/>
        <rFont val="맑은 고딕"/>
        <family val="3"/>
        <charset val="129"/>
      </rPr>
      <t>발주부서</t>
    </r>
    <r>
      <rPr>
        <b/>
        <sz val="11"/>
        <rFont val="맑은 고딕"/>
        <family val="3"/>
        <charset val="129"/>
      </rPr>
      <t xml:space="preserve"> 작성</t>
    </r>
    <phoneticPr fontId="4" type="noConversion"/>
  </si>
  <si>
    <r>
      <rPr>
        <b/>
        <sz val="11"/>
        <color indexed="10"/>
        <rFont val="맑은 고딕"/>
        <family val="3"/>
        <charset val="129"/>
      </rPr>
      <t>발주부서</t>
    </r>
    <r>
      <rPr>
        <b/>
        <sz val="11"/>
        <rFont val="맑은 고딕"/>
        <family val="3"/>
        <charset val="129"/>
      </rPr>
      <t xml:space="preserve"> 작성</t>
    </r>
    <phoneticPr fontId="4" type="noConversion"/>
  </si>
  <si>
    <r>
      <rPr>
        <b/>
        <sz val="11"/>
        <color indexed="30"/>
        <rFont val="맑은 고딕"/>
        <family val="3"/>
        <charset val="129"/>
      </rPr>
      <t>참여업체</t>
    </r>
    <r>
      <rPr>
        <b/>
        <sz val="11"/>
        <rFont val="맑은 고딕"/>
        <family val="3"/>
        <charset val="129"/>
      </rPr>
      <t xml:space="preserve"> 작성</t>
    </r>
    <phoneticPr fontId="4" type="noConversion"/>
  </si>
  <si>
    <t>기술사 1점, 기능장 0.8점, 
기사 0.7점, 산업기사 0.5점</t>
    <phoneticPr fontId="4" type="noConversion"/>
  </si>
  <si>
    <t>-비상주감리원으로 타현장 상주감리원으로 중복배치시 PQ평가대상에서 제외</t>
    <phoneticPr fontId="4" type="noConversion"/>
  </si>
  <si>
    <t xml:space="preserve">    [공인회계사(세무사)의 사업자등록증 사본 및 인감증명서(본인서명사실확인서) </t>
    <phoneticPr fontId="4" type="noConversion"/>
  </si>
  <si>
    <r>
      <t>주거시설(21)</t>
    </r>
    <r>
      <rPr>
        <b/>
        <sz val="10"/>
        <color indexed="8"/>
        <rFont val="맑은 고딕"/>
        <family val="3"/>
        <charset val="129"/>
      </rPr>
      <t>[100%인정]</t>
    </r>
    <phoneticPr fontId="4" type="noConversion"/>
  </si>
  <si>
    <r>
      <t>주거시설(21)외의 건축물</t>
    </r>
    <r>
      <rPr>
        <b/>
        <sz val="10"/>
        <color indexed="8"/>
        <rFont val="맑은 고딕"/>
        <family val="3"/>
        <charset val="129"/>
      </rPr>
      <t>[60%인정]</t>
    </r>
    <phoneticPr fontId="4" type="noConversion"/>
  </si>
  <si>
    <r>
      <t xml:space="preserve">평 가
</t>
    </r>
    <r>
      <rPr>
        <b/>
        <sz val="10"/>
        <color indexed="12"/>
        <rFont val="맑은 고딕"/>
        <family val="3"/>
        <charset val="129"/>
      </rPr>
      <t>(LH)</t>
    </r>
    <phoneticPr fontId="4" type="noConversion"/>
  </si>
  <si>
    <t>ㅇㅇㅇ ㅇㅇㅇㅇ</t>
    <phoneticPr fontId="4" type="noConversion"/>
  </si>
  <si>
    <t>보조감리원</t>
    <phoneticPr fontId="4" type="noConversion"/>
  </si>
  <si>
    <t>비상주감리원</t>
    <phoneticPr fontId="4" type="noConversion"/>
  </si>
  <si>
    <t>ㅇㅇㅇ ㅇㅇ</t>
    <phoneticPr fontId="4" type="noConversion"/>
  </si>
  <si>
    <t>2) 보조감리원 등급, 경력 및 실적[14점]</t>
    <phoneticPr fontId="4" type="noConversion"/>
  </si>
  <si>
    <t>1 )책임감리원 등급, 경력 및 실적[25점]</t>
    <phoneticPr fontId="4" type="noConversion"/>
  </si>
  <si>
    <t>1-1) 등급[부적합시 평가대상 제외]</t>
    <phoneticPr fontId="4" type="noConversion"/>
  </si>
  <si>
    <t xml:space="preserve">1-2) 경력 및 실적[25점] </t>
    <phoneticPr fontId="4" type="noConversion"/>
  </si>
  <si>
    <t>2-1) 등급[부적합시 평가대상 제외]</t>
    <phoneticPr fontId="4" type="noConversion"/>
  </si>
  <si>
    <t xml:space="preserve">2-2) 경력 및 실적[14점] </t>
    <phoneticPr fontId="4" type="noConversion"/>
  </si>
  <si>
    <t>3) 비상주감리원 등급, 경력 및 실적[11점]</t>
    <phoneticPr fontId="4" type="noConversion"/>
  </si>
  <si>
    <r>
      <rPr>
        <b/>
        <sz val="10"/>
        <color indexed="10"/>
        <rFont val="맑은 고딕"/>
        <family val="3"/>
        <charset val="129"/>
      </rPr>
      <t>100%</t>
    </r>
    <r>
      <rPr>
        <b/>
        <sz val="10"/>
        <color indexed="8"/>
        <rFont val="맑은 고딕"/>
        <family val="3"/>
        <charset val="129"/>
      </rPr>
      <t>인정경력</t>
    </r>
    <phoneticPr fontId="4" type="noConversion"/>
  </si>
  <si>
    <t>설계</t>
  </si>
  <si>
    <r>
      <t>1</t>
    </r>
    <r>
      <rPr>
        <sz val="11"/>
        <rFont val="맑은 고딕"/>
        <family val="3"/>
        <charset val="129"/>
      </rPr>
      <t>. 주거시설(21)에 대한 공사감리 경력</t>
    </r>
    <phoneticPr fontId="4" type="noConversion"/>
  </si>
  <si>
    <t>2. 주거시설(21)에 대한 공사감독, 사업관리 경력</t>
    <phoneticPr fontId="4" type="noConversion"/>
  </si>
  <si>
    <t xml:space="preserve">  a. 전력기술관리법 제12조 1항에 따른 발주자 소속 직원으로서의 공사감독, 사업관리 경력</t>
    <phoneticPr fontId="4" type="noConversion"/>
  </si>
  <si>
    <t xml:space="preserve">  b. 전력기술관리법 제14조의2 제1항 각 호에 소속된 직원으로서의 공사감독, 사업관리 경력(2008년 7월 1일 이후)</t>
    <phoneticPr fontId="4" type="noConversion"/>
  </si>
  <si>
    <r>
      <t>1</t>
    </r>
    <r>
      <rPr>
        <sz val="11"/>
        <rFont val="맑은 고딕"/>
        <family val="3"/>
        <charset val="129"/>
      </rPr>
      <t>. 주거시설(21)에 대한 설계, 설계감리, 시공 경력</t>
    </r>
    <phoneticPr fontId="4" type="noConversion"/>
  </si>
  <si>
    <r>
      <t xml:space="preserve">※경력년수 </t>
    </r>
    <r>
      <rPr>
        <b/>
        <sz val="11"/>
        <color indexed="10"/>
        <rFont val="맑은 고딕"/>
        <family val="3"/>
        <charset val="129"/>
      </rPr>
      <t>100%</t>
    </r>
    <r>
      <rPr>
        <sz val="11"/>
        <rFont val="맑은 고딕"/>
        <family val="3"/>
        <charset val="129"/>
      </rPr>
      <t xml:space="preserve"> 인정하는 경력</t>
    </r>
    <phoneticPr fontId="4" type="noConversion"/>
  </si>
  <si>
    <r>
      <t xml:space="preserve">※경력년수 </t>
    </r>
    <r>
      <rPr>
        <b/>
        <sz val="11"/>
        <color indexed="10"/>
        <rFont val="맑은 고딕"/>
        <family val="3"/>
        <charset val="129"/>
      </rPr>
      <t>80%</t>
    </r>
    <r>
      <rPr>
        <sz val="11"/>
        <rFont val="맑은 고딕"/>
        <family val="3"/>
        <charset val="129"/>
      </rPr>
      <t xml:space="preserve"> 인정하는 경력</t>
    </r>
    <phoneticPr fontId="4" type="noConversion"/>
  </si>
  <si>
    <r>
      <rPr>
        <b/>
        <sz val="10"/>
        <color indexed="10"/>
        <rFont val="맑은 고딕"/>
        <family val="3"/>
        <charset val="129"/>
      </rPr>
      <t>100%</t>
    </r>
    <r>
      <rPr>
        <sz val="10"/>
        <color indexed="8"/>
        <rFont val="맑은 고딕"/>
        <family val="3"/>
        <charset val="129"/>
      </rPr>
      <t xml:space="preserve">
</t>
    </r>
    <r>
      <rPr>
        <b/>
        <sz val="10"/>
        <color indexed="8"/>
        <rFont val="맑은 고딕"/>
        <family val="3"/>
        <charset val="129"/>
      </rPr>
      <t xml:space="preserve">인정
실적
</t>
    </r>
    <phoneticPr fontId="4" type="noConversion"/>
  </si>
  <si>
    <t>※ 공사가 중단된 기간은 실적 인정에서 제외함</t>
  </si>
  <si>
    <t>※ 실적인정 비율 시설물 구분</t>
    <phoneticPr fontId="4" type="noConversion"/>
  </si>
  <si>
    <r>
      <t xml:space="preserve">1. 주거시설(21) : </t>
    </r>
    <r>
      <rPr>
        <b/>
        <sz val="11"/>
        <color indexed="10"/>
        <rFont val="맑은 고딕"/>
        <family val="3"/>
        <charset val="129"/>
      </rPr>
      <t>100%</t>
    </r>
    <r>
      <rPr>
        <sz val="11"/>
        <rFont val="맑은 고딕"/>
        <family val="3"/>
        <charset val="129"/>
      </rPr>
      <t xml:space="preserve"> 인정</t>
    </r>
    <phoneticPr fontId="4" type="noConversion"/>
  </si>
  <si>
    <r>
      <rPr>
        <b/>
        <sz val="10"/>
        <color indexed="10"/>
        <rFont val="맑은 고딕"/>
        <family val="3"/>
        <charset val="129"/>
      </rPr>
      <t>60%</t>
    </r>
    <r>
      <rPr>
        <b/>
        <sz val="10"/>
        <color indexed="8"/>
        <rFont val="맑은 고딕"/>
        <family val="3"/>
        <charset val="129"/>
      </rPr>
      <t xml:space="preserve">
인정
실적
</t>
    </r>
    <phoneticPr fontId="4" type="noConversion"/>
  </si>
  <si>
    <r>
      <t>2. 주거시설 외 (</t>
    </r>
    <r>
      <rPr>
        <sz val="11"/>
        <rFont val="맑은 고딕"/>
        <family val="3"/>
        <charset val="129"/>
      </rPr>
      <t>2</t>
    </r>
    <r>
      <rPr>
        <sz val="11"/>
        <rFont val="맑은 고딕"/>
        <family val="3"/>
        <charset val="129"/>
      </rPr>
      <t xml:space="preserve">0,22~29) : </t>
    </r>
    <r>
      <rPr>
        <b/>
        <sz val="11"/>
        <color indexed="10"/>
        <rFont val="맑은 고딕"/>
        <family val="3"/>
        <charset val="129"/>
      </rPr>
      <t>60%</t>
    </r>
    <r>
      <rPr>
        <sz val="11"/>
        <rFont val="맑은 고딕"/>
        <family val="3"/>
        <charset val="129"/>
      </rPr>
      <t xml:space="preserve"> 인정</t>
    </r>
    <phoneticPr fontId="4" type="noConversion"/>
  </si>
  <si>
    <t xml:space="preserve"> - 100% 인정</t>
    <phoneticPr fontId="4" type="noConversion"/>
  </si>
  <si>
    <t>당해용역 : 주택건설공사</t>
    <phoneticPr fontId="4" type="noConversion"/>
  </si>
  <si>
    <t>※순번 3,4의 경력 및 실적 인정관련 상세내용은 지침 참고</t>
    <phoneticPr fontId="4" type="noConversion"/>
  </si>
  <si>
    <t>감리분야 경력 및 실적</t>
    <phoneticPr fontId="4" type="noConversion"/>
  </si>
  <si>
    <t xml:space="preserve">유사용역 수행실적 </t>
    <phoneticPr fontId="4" type="noConversion"/>
  </si>
  <si>
    <t>주거시설(21)에 대한 공사감리, 공사감독, 사업관리</t>
    <phoneticPr fontId="4" type="noConversion"/>
  </si>
  <si>
    <t>주거시설(21)에 대한 설계, 설계감리, 시공</t>
    <phoneticPr fontId="4" type="noConversion"/>
  </si>
  <si>
    <t>주거시설(21)에 대한 공사감리</t>
    <phoneticPr fontId="4" type="noConversion"/>
  </si>
  <si>
    <t>주거시설(21)외의 시설(20,22~29)에 대한 공사감리</t>
    <phoneticPr fontId="4" type="noConversion"/>
  </si>
  <si>
    <t xml:space="preserve">  다만, 2명을 초과하는 경우에는 기존의 2명을 제외한 인원은 평가하지 아니 할 수 있다.</t>
    <phoneticPr fontId="4" type="noConversion"/>
  </si>
  <si>
    <t>참여감리원 보유등급</t>
    <phoneticPr fontId="4" type="noConversion"/>
  </si>
  <si>
    <r>
      <rPr>
        <b/>
        <sz val="10"/>
        <color indexed="10"/>
        <rFont val="맑은 고딕"/>
        <family val="3"/>
        <charset val="129"/>
      </rPr>
      <t xml:space="preserve">100%
</t>
    </r>
    <r>
      <rPr>
        <b/>
        <sz val="10"/>
        <color indexed="8"/>
        <rFont val="맑은 고딕"/>
        <family val="3"/>
        <charset val="129"/>
      </rPr>
      <t>인정
경력</t>
    </r>
    <phoneticPr fontId="4" type="noConversion"/>
  </si>
  <si>
    <r>
      <rPr>
        <b/>
        <sz val="10"/>
        <color indexed="10"/>
        <rFont val="맑은 고딕"/>
        <family val="3"/>
        <charset val="129"/>
      </rPr>
      <t xml:space="preserve">80%
</t>
    </r>
    <r>
      <rPr>
        <b/>
        <sz val="10"/>
        <color indexed="8"/>
        <rFont val="맑은 고딕"/>
        <family val="3"/>
        <charset val="129"/>
      </rPr>
      <t>인정
경력</t>
    </r>
    <phoneticPr fontId="4" type="noConversion"/>
  </si>
  <si>
    <t xml:space="preserve">3-2) 경력 및 실적[9점] </t>
    <phoneticPr fontId="4" type="noConversion"/>
  </si>
  <si>
    <t>ㅇㅇㅇ ㅇㅇㅇㅇ</t>
  </si>
  <si>
    <t>최근 3년간 감리수행기간</t>
    <phoneticPr fontId="4" type="noConversion"/>
  </si>
  <si>
    <t>일수</t>
    <phoneticPr fontId="4" type="noConversion"/>
  </si>
  <si>
    <t>주거시설</t>
  </si>
  <si>
    <t>공공건물</t>
    <phoneticPr fontId="4" type="noConversion"/>
  </si>
  <si>
    <t>100% 이상</t>
    <phoneticPr fontId="4" type="noConversion"/>
  </si>
  <si>
    <t>100%미만
75%이상</t>
    <phoneticPr fontId="4" type="noConversion"/>
  </si>
  <si>
    <t>75%미만
50%이상</t>
    <phoneticPr fontId="4" type="noConversion"/>
  </si>
  <si>
    <t>50%미만
25%이상</t>
    <phoneticPr fontId="4" type="noConversion"/>
  </si>
  <si>
    <t>25% 미만</t>
    <phoneticPr fontId="4" type="noConversion"/>
  </si>
  <si>
    <r>
      <rPr>
        <b/>
        <sz val="10"/>
        <rFont val="맑은 고딕"/>
        <family val="3"/>
        <charset val="129"/>
      </rPr>
      <t xml:space="preserve">&lt;유동비율&gt; </t>
    </r>
    <r>
      <rPr>
        <sz val="10"/>
        <rFont val="맑은 고딕"/>
        <family val="3"/>
        <charset val="129"/>
      </rPr>
      <t xml:space="preserve">
최근년도 한국은행 발행"기업경영분석"자료에서 전체전문, 과학 및 기술서비스업에 대한 평균유동비율(유동자산/유동부채)을 기준으로 계산</t>
    </r>
    <phoneticPr fontId="4" type="noConversion"/>
  </si>
  <si>
    <r>
      <rPr>
        <b/>
        <sz val="10"/>
        <rFont val="맑은 고딕"/>
        <family val="3"/>
        <charset val="129"/>
      </rPr>
      <t xml:space="preserve">&lt;자본비율&gt; </t>
    </r>
    <r>
      <rPr>
        <sz val="10"/>
        <rFont val="맑은 고딕"/>
        <family val="3"/>
        <charset val="129"/>
      </rPr>
      <t xml:space="preserve">
최근년도 한국은행 발행"기업경영분석"자료에서 전체전문, 과학 및 기술서비스업에 대한 평균자기자본비율(자기자본/총자산)을 기준으로 계산</t>
    </r>
    <phoneticPr fontId="4" type="noConversion"/>
  </si>
  <si>
    <t>4) 참여감리원 경력 세부내용(책임감리원, 보조감리원, 비상주감리원)</t>
    <phoneticPr fontId="4" type="noConversion"/>
  </si>
  <si>
    <t xml:space="preserve"> 1) 감리용역 수행실적[8점]</t>
    <phoneticPr fontId="4" type="noConversion"/>
  </si>
  <si>
    <t>2) 용역수행 성과평가[2점]</t>
    <phoneticPr fontId="4" type="noConversion"/>
  </si>
  <si>
    <t xml:space="preserve">  1) 영업정지 등[7점]</t>
    <phoneticPr fontId="4" type="noConversion"/>
  </si>
  <si>
    <t xml:space="preserve">  2) 재정상태건실도[3점]</t>
    <phoneticPr fontId="4" type="noConversion"/>
  </si>
  <si>
    <t xml:space="preserve"> ① 자본비율[1점]</t>
    <phoneticPr fontId="4" type="noConversion"/>
  </si>
  <si>
    <t xml:space="preserve"> ② 유동비율[2점]</t>
    <phoneticPr fontId="4" type="noConversion"/>
  </si>
  <si>
    <r>
      <t xml:space="preserve">  -</t>
    </r>
    <r>
      <rPr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당해 감리업체의 자기자본비율/평균자기자본비율</t>
    </r>
    <phoneticPr fontId="4" type="noConversion"/>
  </si>
  <si>
    <r>
      <t xml:space="preserve">  -</t>
    </r>
    <r>
      <rPr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당해 감리업체의 유동비율/평균유동비율</t>
    </r>
    <phoneticPr fontId="4" type="noConversion"/>
  </si>
  <si>
    <t>1) 개발실적[4점]</t>
    <phoneticPr fontId="4" type="noConversion"/>
  </si>
  <si>
    <t>2) 기술개발투자실적[4점]</t>
    <phoneticPr fontId="4" type="noConversion"/>
  </si>
  <si>
    <t>구 분</t>
    <phoneticPr fontId="4" type="noConversion"/>
  </si>
  <si>
    <t>5년이하</t>
    <phoneticPr fontId="4" type="noConversion"/>
  </si>
  <si>
    <t>5년초과
10년이하</t>
    <phoneticPr fontId="4" type="noConversion"/>
  </si>
  <si>
    <t>10년초과
20년이하</t>
    <phoneticPr fontId="4" type="noConversion"/>
  </si>
  <si>
    <t>특 허</t>
    <phoneticPr fontId="4" type="noConversion"/>
  </si>
  <si>
    <t>- 전력기술에 관한 신기술 인증     : 건당 2점
- 전력기술에 관한 특허               : 건당 1점
- 전력기술에 관한 실용실안         : 건당 0.5점</t>
    <phoneticPr fontId="4" type="noConversion"/>
  </si>
  <si>
    <r>
      <t>&lt;개발실적&gt;</t>
    </r>
    <r>
      <rPr>
        <b/>
        <sz val="10"/>
        <rFont val="맑은 고딕"/>
        <family val="3"/>
        <charset val="129"/>
      </rPr>
      <t xml:space="preserve"> </t>
    </r>
    <phoneticPr fontId="4" type="noConversion"/>
  </si>
  <si>
    <t>3%이상</t>
    <phoneticPr fontId="4" type="noConversion"/>
  </si>
  <si>
    <t>3.0%미만</t>
    <phoneticPr fontId="4" type="noConversion"/>
  </si>
  <si>
    <t>2.5%미만</t>
    <phoneticPr fontId="4" type="noConversion"/>
  </si>
  <si>
    <t>2.0%미만</t>
    <phoneticPr fontId="4" type="noConversion"/>
  </si>
  <si>
    <t>1.5%미만</t>
    <phoneticPr fontId="4" type="noConversion"/>
  </si>
  <si>
    <t>2.5%이상</t>
    <phoneticPr fontId="4" type="noConversion"/>
  </si>
  <si>
    <t>2.0%이상</t>
    <phoneticPr fontId="4" type="noConversion"/>
  </si>
  <si>
    <t>1.5%이상</t>
    <phoneticPr fontId="4" type="noConversion"/>
  </si>
  <si>
    <r>
      <t>&lt;기술개발투자실적&gt;</t>
    </r>
    <r>
      <rPr>
        <b/>
        <sz val="10"/>
        <rFont val="맑은 고딕"/>
        <family val="3"/>
        <charset val="129"/>
      </rPr>
      <t xml:space="preserve"> </t>
    </r>
    <phoneticPr fontId="4" type="noConversion"/>
  </si>
  <si>
    <t>3) 교육실적[2점]</t>
    <phoneticPr fontId="4" type="noConversion"/>
  </si>
  <si>
    <t>2023-01-01 ~ 현재</t>
  </si>
  <si>
    <t>2023-01-01 ~ 현재</t>
    <phoneticPr fontId="4" type="noConversion"/>
  </si>
  <si>
    <t>2023-01-02 ~ 현재</t>
  </si>
  <si>
    <t>2023-01-03 ~ 현재</t>
  </si>
  <si>
    <t>2023-01-04 ~ 현재</t>
  </si>
  <si>
    <t>2023-01-05 ~ 현재</t>
  </si>
  <si>
    <r>
      <t>기술개발투자실적</t>
    </r>
    <r>
      <rPr>
        <sz val="11"/>
        <color indexed="14"/>
        <rFont val="맑은 고딕"/>
        <family val="3"/>
        <charset val="129"/>
      </rPr>
      <t>(전기부문)</t>
    </r>
    <phoneticPr fontId="4" type="noConversion"/>
  </si>
  <si>
    <r>
      <t>총매출액</t>
    </r>
    <r>
      <rPr>
        <sz val="11"/>
        <color indexed="14"/>
        <rFont val="맑은 고딕"/>
        <family val="3"/>
        <charset val="129"/>
      </rPr>
      <t>(전기부문)</t>
    </r>
    <phoneticPr fontId="4" type="noConversion"/>
  </si>
  <si>
    <t>※'전기'부문의 매출액을 확인할 수 있어야 함</t>
    <phoneticPr fontId="4" type="noConversion"/>
  </si>
  <si>
    <t xml:space="preserve"> - 100% 인정 경력</t>
    <phoneticPr fontId="4" type="noConversion"/>
  </si>
  <si>
    <t xml:space="preserve"> - 80% 인정 경력</t>
    <phoneticPr fontId="4" type="noConversion"/>
  </si>
  <si>
    <t xml:space="preserve"> - 60% 인정</t>
    <phoneticPr fontId="4" type="noConversion"/>
  </si>
  <si>
    <r>
      <t xml:space="preserve">※ 참여분야 분류표 : </t>
    </r>
    <r>
      <rPr>
        <sz val="12"/>
        <color indexed="8"/>
        <rFont val="맑은 고딕"/>
        <family val="3"/>
        <charset val="129"/>
      </rPr>
      <t>「전력기술관리법 시행규칙」 별지 제6호서식에 따름</t>
    </r>
    <phoneticPr fontId="4" type="noConversion"/>
  </si>
  <si>
    <t>발
송
배
전
시
설
[1]</t>
    <phoneticPr fontId="4" type="noConversion"/>
  </si>
  <si>
    <t>10. 원자력</t>
  </si>
  <si>
    <t>건
축
물
시
설
[2]</t>
    <phoneticPr fontId="4" type="noConversion"/>
  </si>
  <si>
    <t>20. 공공건물</t>
  </si>
  <si>
    <t>공
공
시
설
[3]</t>
    <phoneticPr fontId="4" type="noConversion"/>
  </si>
  <si>
    <t>30. 도로시설</t>
  </si>
  <si>
    <t>에
너
지
ㆍ
환
경
시
설
[4]</t>
    <phoneticPr fontId="4" type="noConversion"/>
  </si>
  <si>
    <t>40. 에너지공급시설</t>
  </si>
  <si>
    <t>산
업
시
설
[5]</t>
    <phoneticPr fontId="4" type="noConversion"/>
  </si>
  <si>
    <t>50. 산업시설
(제조업, 플랜트설비 포함)</t>
    <phoneticPr fontId="4" type="noConversion"/>
  </si>
  <si>
    <t>11. 화력</t>
  </si>
  <si>
    <t>21. 주거시설</t>
  </si>
  <si>
    <t>31. 교량시설</t>
  </si>
  <si>
    <t>41. 쓰레기소각시설</t>
  </si>
  <si>
    <t>12. 수력ㆍ소수력</t>
  </si>
  <si>
    <t>22. 업무시설</t>
    <phoneticPr fontId="4" type="noConversion"/>
  </si>
  <si>
    <t>32. 터널시설</t>
  </si>
  <si>
    <t>42. 오ㆍ폐수처리시설</t>
  </si>
  <si>
    <t>13. 열병합</t>
  </si>
  <si>
    <t>23. 판매시설</t>
  </si>
  <si>
    <t>33. 댐시설</t>
    <phoneticPr fontId="4" type="noConversion"/>
  </si>
  <si>
    <t>43. 상·하수도·정수시설</t>
    <phoneticPr fontId="4" type="noConversion"/>
  </si>
  <si>
    <t>14. 풍력</t>
  </si>
  <si>
    <t>24. 숙박시설</t>
  </si>
  <si>
    <t>34. 항만시설</t>
  </si>
  <si>
    <t>44. 공원시설</t>
  </si>
  <si>
    <t>15. 태양광</t>
  </si>
  <si>
    <t>25. 의료시설</t>
  </si>
  <si>
    <t>35. 공항시설</t>
  </si>
  <si>
    <t>45. 위험물시설</t>
  </si>
  <si>
    <t>16. 송 전</t>
  </si>
  <si>
    <t>26. 종교시설</t>
  </si>
  <si>
    <t>36. 전기철도시설</t>
  </si>
  <si>
    <t>49. 그 밖의 에너지·환경시설</t>
    <phoneticPr fontId="4" type="noConversion"/>
  </si>
  <si>
    <t>17. 변 전</t>
  </si>
  <si>
    <t>27. 체육시설</t>
  </si>
  <si>
    <t>37. 철도신호시설</t>
  </si>
  <si>
    <t>18. 배 전</t>
  </si>
  <si>
    <t>28. 교육ㆍ연구시설</t>
    <phoneticPr fontId="4" type="noConversion"/>
  </si>
  <si>
    <t>39. 그 밖의 공공시설</t>
    <phoneticPr fontId="4" type="noConversion"/>
  </si>
  <si>
    <t>19. 그밖의 
    발송변배전시설</t>
    <phoneticPr fontId="4" type="noConversion"/>
  </si>
  <si>
    <t>29. 그밖의 건축시설</t>
    <phoneticPr fontId="4" type="noConversion"/>
  </si>
  <si>
    <t>ㅁㅁㅁㅁ ㅁㅁㅁ ㅁㅁㅁ 전기공사 감리용역</t>
    <phoneticPr fontId="4" type="noConversion"/>
  </si>
  <si>
    <t>전체 감리용역기간</t>
    <phoneticPr fontId="4" type="noConversion"/>
  </si>
  <si>
    <t>1) 감리업체[2.5점]</t>
    <phoneticPr fontId="4" type="noConversion"/>
  </si>
  <si>
    <t>2) 참여감리원[2.5점]</t>
    <phoneticPr fontId="4" type="noConversion"/>
  </si>
  <si>
    <t>8, 9. 가점 및 감점 평가기준[±5점]</t>
    <phoneticPr fontId="4" type="noConversion"/>
  </si>
  <si>
    <t>8.가점[2.5점]</t>
    <phoneticPr fontId="4" type="noConversion"/>
  </si>
  <si>
    <t>1) 지역가점[1.5점]</t>
    <phoneticPr fontId="4" type="noConversion"/>
  </si>
  <si>
    <t>2) 책임감리원 기술자격 가점[1점]</t>
    <phoneticPr fontId="4" type="noConversion"/>
  </si>
  <si>
    <t>1) 부패행위 관련자[-5점]</t>
    <phoneticPr fontId="4" type="noConversion"/>
  </si>
  <si>
    <t>2) 부실벌점[-2점]</t>
    <phoneticPr fontId="4" type="noConversion"/>
  </si>
  <si>
    <t>3) 입찰불참[-1점]</t>
    <phoneticPr fontId="4" type="noConversion"/>
  </si>
  <si>
    <t>4) 품질 미흡/우수 통지서[-3점]</t>
    <phoneticPr fontId="4" type="noConversion"/>
  </si>
  <si>
    <t xml:space="preserve">    - 한국전기기술인협회발행 공사감리용역수행현황확인서 또는 재정상태 검토보고서(PQ엑셀 별표2)</t>
    <phoneticPr fontId="4" type="noConversion"/>
  </si>
  <si>
    <t>[별표 1] 유사용역 인정범위(제7조 제1항의 관련)</t>
    <phoneticPr fontId="4" type="noConversion"/>
  </si>
  <si>
    <t>[별표 2] 재정상태검토보고서</t>
    <phoneticPr fontId="4" type="noConversion"/>
  </si>
  <si>
    <t>단독</t>
    <phoneticPr fontId="4" type="noConversion"/>
  </si>
  <si>
    <r>
      <t xml:space="preserve">4. PQ점수 </t>
    </r>
    <r>
      <rPr>
        <b/>
        <sz val="11.5"/>
        <color indexed="10"/>
        <rFont val="맑은 고딕"/>
        <family val="3"/>
        <charset val="129"/>
      </rPr>
      <t>95</t>
    </r>
    <r>
      <rPr>
        <b/>
        <sz val="11.5"/>
        <color indexed="10"/>
        <rFont val="맑은 고딕"/>
        <family val="3"/>
        <charset val="129"/>
      </rPr>
      <t>점 이상인 입찰참가자로 선정된 자가 정당한 이유 없이 가격입찰에 불참하였을</t>
    </r>
    <phoneticPr fontId="4" type="noConversion"/>
  </si>
  <si>
    <r>
      <t xml:space="preserve">• 6개소미만  : 4점
• 6개소       : 3점
• 7개소       : 2점
• 8개소       : 1점
• 9개소이상  : 0점
</t>
    </r>
    <r>
      <rPr>
        <sz val="10"/>
        <color indexed="10"/>
        <rFont val="맑은 고딕"/>
        <family val="3"/>
        <charset val="129"/>
      </rPr>
      <t xml:space="preserve">(타현장의 상주감리원으로 중복배치시 평가대상에서 제외)
</t>
    </r>
    <r>
      <rPr>
        <sz val="10"/>
        <color indexed="10"/>
        <rFont val="맑은 고딕"/>
        <family val="3"/>
        <charset val="129"/>
      </rPr>
      <t>(당해 용역 배치 제외하고 9개소 이상인 경우 평가대상에서 제외)</t>
    </r>
    <phoneticPr fontId="4" type="noConversion"/>
  </si>
  <si>
    <r>
      <rPr>
        <sz val="11"/>
        <color indexed="8"/>
        <rFont val="맑은 고딕"/>
        <family val="3"/>
        <charset val="129"/>
      </rPr>
      <t>※</t>
    </r>
    <r>
      <rPr>
        <b/>
        <sz val="11"/>
        <color indexed="10"/>
        <rFont val="맑은 고딕"/>
        <family val="3"/>
        <charset val="129"/>
      </rPr>
      <t>경력관련 상세내용은 LH '</t>
    </r>
    <r>
      <rPr>
        <b/>
        <u/>
        <sz val="11"/>
        <color indexed="10"/>
        <rFont val="맑은 고딕"/>
        <family val="3"/>
        <charset val="129"/>
      </rPr>
      <t>전기공사 감리용역 사업수행능력 평가지침</t>
    </r>
    <r>
      <rPr>
        <b/>
        <sz val="11"/>
        <color indexed="10"/>
        <rFont val="맑은 고딕"/>
        <family val="3"/>
        <charset val="129"/>
      </rPr>
      <t>' 참고 후 작성</t>
    </r>
    <phoneticPr fontId="4" type="noConversion"/>
  </si>
  <si>
    <t>※지역가점 대상 : 800세대 미만의 공동주택(다수의 공구를 통합하여 발주한 경우에는 세대수 합산)  이고</t>
    <phoneticPr fontId="4" type="noConversion"/>
  </si>
  <si>
    <r>
      <t xml:space="preserve">        입찰공고일을 기준으로 6개월 이상 계속하여 </t>
    </r>
    <r>
      <rPr>
        <sz val="11"/>
        <color indexed="10"/>
        <rFont val="맑은 고딕"/>
        <family val="3"/>
        <charset val="129"/>
      </rPr>
      <t>당해지역(특별시․광역시․도 및 특별자치시․도)</t>
    </r>
    <r>
      <rPr>
        <sz val="11"/>
        <rFont val="맑은 고딕"/>
        <family val="3"/>
        <charset val="129"/>
      </rPr>
      <t>에 주된 사무소가 등록된 감리업체</t>
    </r>
    <phoneticPr fontId="4" type="noConversion"/>
  </si>
  <si>
    <t>당해용역
최소 요구등급</t>
    <phoneticPr fontId="4" type="noConversion"/>
  </si>
  <si>
    <t>고급</t>
  </si>
  <si>
    <t>배치</t>
  </si>
  <si>
    <t>※당해용역 과업내용상 '보조' 또는 '비상주'감리원 미배치시 각 평가항목 배점한도(만점) 적용</t>
    <phoneticPr fontId="4" type="noConversion"/>
  </si>
  <si>
    <t xml:space="preserve">  (작성요령 시트의 W5(배치여부) 참고)</t>
    <phoneticPr fontId="4" type="noConversion"/>
  </si>
  <si>
    <t>중급</t>
  </si>
  <si>
    <t>배치여부
(필수선택)</t>
    <phoneticPr fontId="4" type="noConversion"/>
  </si>
  <si>
    <r>
      <t>'</t>
    </r>
    <r>
      <rPr>
        <b/>
        <sz val="10"/>
        <color rgb="FFFF0000"/>
        <rFont val="맑은 고딕"/>
        <family val="3"/>
        <charset val="129"/>
        <scheme val="minor"/>
      </rPr>
      <t>공사감리용역수행현황확인서</t>
    </r>
    <r>
      <rPr>
        <b/>
        <sz val="10"/>
        <color indexed="8"/>
        <rFont val="맑은 고딕"/>
        <family val="3"/>
        <charset val="129"/>
        <scheme val="minor"/>
      </rPr>
      <t>' 상의 교체빈도</t>
    </r>
    <phoneticPr fontId="4" type="noConversion"/>
  </si>
  <si>
    <t>※보조감리원이 2명 이상인 경우에는 각 감리원의 점수를 합하여 감리원수 만큼 나누어 평가한다.</t>
    <phoneticPr fontId="4" type="noConversion"/>
  </si>
  <si>
    <t>점수</t>
    <phoneticPr fontId="4" type="noConversion"/>
  </si>
  <si>
    <t>용역완료
증빙서류
제출여부</t>
    <phoneticPr fontId="4" type="noConversion"/>
  </si>
  <si>
    <t>제출완료</t>
  </si>
  <si>
    <t>2023-01-06 ~ 현재</t>
  </si>
  <si>
    <t>2023-01-07 ~ 현재</t>
  </si>
  <si>
    <t>2023-01-08 ~ 현재</t>
  </si>
  <si>
    <t>2023-01-09 ~ 현재</t>
  </si>
  <si>
    <t>당해용역
배치예정일</t>
    <phoneticPr fontId="4" type="noConversion"/>
  </si>
  <si>
    <t>-</t>
    <phoneticPr fontId="4" type="noConversion"/>
  </si>
  <si>
    <r>
      <t xml:space="preserve">최근 1년간 배치감리원수
</t>
    </r>
    <r>
      <rPr>
        <b/>
        <sz val="10"/>
        <color theme="0" tint="-0.499984740745262"/>
        <rFont val="맑은 고딕"/>
        <family val="3"/>
        <charset val="129"/>
        <scheme val="minor"/>
      </rPr>
      <t>(최근 1년간 배치건수)</t>
    </r>
    <phoneticPr fontId="4" type="noConversion"/>
  </si>
  <si>
    <t>상주</t>
    <phoneticPr fontId="4" type="noConversion"/>
  </si>
  <si>
    <t>비상주</t>
    <phoneticPr fontId="4" type="noConversion"/>
  </si>
  <si>
    <t>합 계</t>
    <phoneticPr fontId="4" type="noConversion"/>
  </si>
  <si>
    <t>1년 기준일(협회발급)</t>
    <phoneticPr fontId="4" type="noConversion"/>
  </si>
  <si>
    <t>미배치</t>
  </si>
  <si>
    <t>3-1) 등급[2점]</t>
    <phoneticPr fontId="4" type="noConversion"/>
  </si>
  <si>
    <t>평가여부
(필수선택)</t>
    <phoneticPr fontId="4" type="noConversion"/>
  </si>
  <si>
    <t>평가</t>
  </si>
  <si>
    <t>(인)</t>
    <phoneticPr fontId="4" type="noConversion"/>
  </si>
  <si>
    <t>미평가</t>
  </si>
  <si>
    <t>평가여부</t>
    <phoneticPr fontId="4" type="noConversion"/>
  </si>
  <si>
    <t>평균</t>
    <phoneticPr fontId="4" type="noConversion"/>
  </si>
  <si>
    <t>6. 제출서류(전기공사 감리용역 사업수행능력 평가지침 및 입찰공고문 참고)</t>
    <phoneticPr fontId="4" type="noConversion"/>
  </si>
  <si>
    <r>
      <t xml:space="preserve">색 표시부분은 수식이 연결되어 있으므로 </t>
    </r>
    <r>
      <rPr>
        <b/>
        <sz val="11.5"/>
        <rFont val="맑은 고딕"/>
        <family val="3"/>
        <charset val="129"/>
      </rPr>
      <t>자료입력 금지(오류발견 시 문의)</t>
    </r>
    <phoneticPr fontId="4" type="noConversion"/>
  </si>
  <si>
    <t>주거시설</t>
    <phoneticPr fontId="4" type="noConversion"/>
  </si>
  <si>
    <t>100점 초과 시 100점으로 통보</t>
    <phoneticPr fontId="4" type="noConversion"/>
  </si>
  <si>
    <t>총 합계(원점수)</t>
    <phoneticPr fontId="4" type="noConversion"/>
  </si>
  <si>
    <t>총 합계(최종점수)</t>
    <phoneticPr fontId="4" type="noConversion"/>
  </si>
  <si>
    <t>비상주 등급 : 특급 2점, 고급 1점</t>
    <phoneticPr fontId="4" type="noConversion"/>
  </si>
  <si>
    <t>비상주감리</t>
  </si>
  <si>
    <r>
      <t xml:space="preserve">  </t>
    </r>
    <r>
      <rPr>
        <b/>
        <sz val="11.5"/>
        <rFont val="맑은 고딕"/>
        <family val="3"/>
        <charset val="129"/>
      </rPr>
      <t xml:space="preserve"> 적용하여</t>
    </r>
    <r>
      <rPr>
        <b/>
        <sz val="11.5"/>
        <rFont val="맑은 고딕"/>
        <family val="3"/>
        <charset val="129"/>
      </rPr>
      <t xml:space="preserve"> PQ심사를 진행하고, 가격개찰 후 평가결과 확정하여 낙찰자를 결정합니다.</t>
    </r>
    <phoneticPr fontId="4" type="noConversion"/>
  </si>
  <si>
    <r>
      <t>5. 본 용역은 입찰참가자가 스스로 사업수행능력을 평가한 자기평가서</t>
    </r>
    <r>
      <rPr>
        <b/>
        <sz val="11.5"/>
        <color rgb="FFFF0000"/>
        <rFont val="맑은 고딕"/>
        <family val="3"/>
        <charset val="129"/>
      </rPr>
      <t>(온라인제출 기준)</t>
    </r>
    <r>
      <rPr>
        <b/>
        <sz val="11.5"/>
        <rFont val="맑은 고딕"/>
        <family val="3"/>
        <charset val="129"/>
      </rPr>
      <t>를</t>
    </r>
    <phoneticPr fontId="4" type="noConversion"/>
  </si>
  <si>
    <t xml:space="preserve">   1)사업수행능력평가 신청서의 순서 및 내용이 동일한 PDF 파일 1EA</t>
    <phoneticPr fontId="4" type="noConversion"/>
  </si>
  <si>
    <t xml:space="preserve">   2)업체가 작성한 사업수행능력평가 신청서의 엑셀파일(모든 시트sheet 작성하여 제출) 1EA</t>
    <phoneticPr fontId="4" type="noConversion"/>
  </si>
  <si>
    <t xml:space="preserve">   3)사업수행능력평가 신청서의 순서 및 내용이 동일한 도서 1부(입찰참가자격서류 일체 포함)</t>
    <phoneticPr fontId="4" type="noConversion"/>
  </si>
  <si>
    <t xml:space="preserve">  ㅇ 용역수행 성과평가 관련(평가 시행 시)</t>
    <phoneticPr fontId="4" type="noConversion"/>
  </si>
  <si>
    <r>
      <t>2</t>
    </r>
    <r>
      <rPr>
        <sz val="10"/>
        <rFont val="맑은 고딕"/>
        <family val="3"/>
        <charset val="129"/>
      </rPr>
      <t>014-01-02</t>
    </r>
    <r>
      <rPr>
        <sz val="11"/>
        <color theme="1"/>
        <rFont val="맑은 고딕"/>
        <family val="2"/>
        <charset val="129"/>
        <scheme val="minor"/>
      </rPr>
      <t/>
    </r>
  </si>
  <si>
    <r>
      <t>2</t>
    </r>
    <r>
      <rPr>
        <sz val="10"/>
        <rFont val="맑은 고딕"/>
        <family val="3"/>
        <charset val="129"/>
      </rPr>
      <t>014-01-03</t>
    </r>
    <r>
      <rPr>
        <sz val="11"/>
        <color theme="1"/>
        <rFont val="맑은 고딕"/>
        <family val="2"/>
        <charset val="129"/>
        <scheme val="minor"/>
      </rPr>
      <t/>
    </r>
  </si>
  <si>
    <r>
      <t>2</t>
    </r>
    <r>
      <rPr>
        <sz val="10"/>
        <rFont val="맑은 고딕"/>
        <family val="3"/>
        <charset val="129"/>
      </rPr>
      <t>014-01-04</t>
    </r>
    <r>
      <rPr>
        <sz val="11"/>
        <color theme="1"/>
        <rFont val="맑은 고딕"/>
        <family val="2"/>
        <charset val="129"/>
        <scheme val="minor"/>
      </rPr>
      <t/>
    </r>
  </si>
  <si>
    <r>
      <t>2</t>
    </r>
    <r>
      <rPr>
        <sz val="10"/>
        <rFont val="맑은 고딕"/>
        <family val="3"/>
        <charset val="129"/>
      </rPr>
      <t>014-01-05</t>
    </r>
    <r>
      <rPr>
        <sz val="11"/>
        <color theme="1"/>
        <rFont val="맑은 고딕"/>
        <family val="2"/>
        <charset val="129"/>
        <scheme val="minor"/>
      </rPr>
      <t/>
    </r>
  </si>
  <si>
    <r>
      <t>2</t>
    </r>
    <r>
      <rPr>
        <sz val="10"/>
        <rFont val="맑은 고딕"/>
        <family val="3"/>
        <charset val="129"/>
      </rPr>
      <t>014-01-06</t>
    </r>
    <r>
      <rPr>
        <sz val="11"/>
        <color theme="1"/>
        <rFont val="맑은 고딕"/>
        <family val="2"/>
        <charset val="129"/>
        <scheme val="minor"/>
      </rPr>
      <t/>
    </r>
  </si>
  <si>
    <t>구 분
(교육이수)</t>
    <phoneticPr fontId="4" type="noConversion"/>
  </si>
  <si>
    <t>이수인원
(A)</t>
    <phoneticPr fontId="4" type="noConversion"/>
  </si>
  <si>
    <t>평가대상인원수
(B)</t>
    <phoneticPr fontId="4" type="noConversion"/>
  </si>
  <si>
    <t>배점
(C)</t>
    <phoneticPr fontId="4" type="noConversion"/>
  </si>
  <si>
    <t>평점(업체)
(A/B)XC</t>
    <phoneticPr fontId="4" type="noConversion"/>
  </si>
  <si>
    <r>
      <rPr>
        <b/>
        <sz val="10"/>
        <rFont val="맑은 고딕"/>
        <family val="3"/>
        <charset val="129"/>
      </rPr>
      <t xml:space="preserve"> &lt;교육실적&gt;</t>
    </r>
    <r>
      <rPr>
        <sz val="10"/>
        <rFont val="맑은 고딕"/>
        <family val="3"/>
        <charset val="129"/>
      </rPr>
      <t xml:space="preserve">
 - 2주이상 교육을 이수한 경우 : (교육이수인원/평가대상인원수)*2점
 - 1주이상 2주 미만 교육을 이수한 경우 : (교육이수인원/평가대상인원수)*1점
 - </t>
    </r>
    <r>
      <rPr>
        <b/>
        <sz val="10"/>
        <rFont val="맑은 고딕"/>
        <family val="3"/>
        <charset val="129"/>
      </rPr>
      <t>수료일 기준으로 평가</t>
    </r>
    <r>
      <rPr>
        <sz val="10"/>
        <rFont val="맑은 고딕"/>
        <family val="3"/>
        <charset val="129"/>
      </rPr>
      <t>하며, 교육기간이 표시되지 않은 경우에는 불인정
 - 1주는 35시간 또는 5일로 간주
 - 전기공사감리관련 교육 및 전력기술관리법 시행규칙 제6조의 4 제1항 
   별표 1에 해당하는 교육만 인정</t>
    </r>
    <phoneticPr fontId="4" type="noConversion"/>
  </si>
  <si>
    <t>2주이상</t>
    <phoneticPr fontId="4" type="noConversion"/>
  </si>
  <si>
    <t>1주이상 2주미만</t>
    <phoneticPr fontId="4" type="noConversion"/>
  </si>
  <si>
    <t>소 계</t>
    <phoneticPr fontId="4" type="noConversion"/>
  </si>
  <si>
    <r>
      <t xml:space="preserve">최대 </t>
    </r>
    <r>
      <rPr>
        <b/>
        <sz val="11"/>
        <rFont val="맑은 고딕"/>
        <family val="3"/>
        <charset val="129"/>
      </rPr>
      <t>2</t>
    </r>
    <r>
      <rPr>
        <b/>
        <sz val="11"/>
        <rFont val="맑은 고딕"/>
        <family val="3"/>
        <charset val="129"/>
      </rPr>
      <t>점</t>
    </r>
    <phoneticPr fontId="4" type="noConversion"/>
  </si>
  <si>
    <t xml:space="preserve">   - 참여 기술자 교육수료 현황</t>
    <phoneticPr fontId="4" type="noConversion"/>
  </si>
  <si>
    <t>교육기간</t>
    <phoneticPr fontId="4" type="noConversion"/>
  </si>
  <si>
    <t>이수실적</t>
    <phoneticPr fontId="4" type="noConversion"/>
  </si>
  <si>
    <t>교육분야</t>
    <phoneticPr fontId="4" type="noConversion"/>
  </si>
  <si>
    <t>시작일</t>
    <phoneticPr fontId="4" type="noConversion"/>
  </si>
  <si>
    <t>종료일</t>
    <phoneticPr fontId="4" type="noConversion"/>
  </si>
  <si>
    <t>일자</t>
    <phoneticPr fontId="4" type="noConversion"/>
  </si>
  <si>
    <t>시간</t>
    <phoneticPr fontId="4" type="noConversion"/>
  </si>
  <si>
    <r>
      <t xml:space="preserve">※ 증빙서류 : </t>
    </r>
    <r>
      <rPr>
        <sz val="10"/>
        <rFont val="맑은 고딕"/>
        <family val="3"/>
        <charset val="129"/>
      </rPr>
      <t>경력확인서 또는 교육훈련 수료증</t>
    </r>
    <phoneticPr fontId="4" type="noConversion"/>
  </si>
  <si>
    <t xml:space="preserve">    또는 회계사(세무사)등록증 사본 각1부(재정(재무)상태 검토보고서 첨부시 재무제표 첨부 불필요)] </t>
  </si>
  <si>
    <t>전기감리전문교육 기본과정</t>
  </si>
  <si>
    <t>전기감리전문교육 심화과정</t>
  </si>
  <si>
    <t>개찰일</t>
    <phoneticPr fontId="4" type="noConversion"/>
  </si>
  <si>
    <t>※ 유사용역수행실적 인정범위</t>
    <phoneticPr fontId="4" type="noConversion"/>
  </si>
  <si>
    <t>※ 참여감리원 인정범위</t>
    <phoneticPr fontId="4" type="noConversion"/>
  </si>
  <si>
    <t>: 100% 인정</t>
    <phoneticPr fontId="4" type="noConversion"/>
  </si>
  <si>
    <t>: 60% 인정</t>
    <phoneticPr fontId="4" type="noConversion"/>
  </si>
  <si>
    <t>불허</t>
  </si>
  <si>
    <t>전기2</t>
  </si>
  <si>
    <t>미배치</t>
    <phoneticPr fontId="4" type="noConversion"/>
  </si>
  <si>
    <t>입찰참가자격(요구면허)</t>
    <phoneticPr fontId="4" type="noConversion"/>
  </si>
  <si>
    <t>종합감리업</t>
    <phoneticPr fontId="4" type="noConversion"/>
  </si>
  <si>
    <t>발주부서 요구사항</t>
    <phoneticPr fontId="4" type="noConversion"/>
  </si>
  <si>
    <t>종합감리업</t>
    <phoneticPr fontId="4" type="noConversion"/>
  </si>
  <si>
    <t>-</t>
    <phoneticPr fontId="4" type="noConversion"/>
  </si>
  <si>
    <t>2024-09-10</t>
    <phoneticPr fontId="4" type="noConversion"/>
  </si>
  <si>
    <t>2024-10-10</t>
    <phoneticPr fontId="4" type="noConversion"/>
  </si>
  <si>
    <t>부분상주감리</t>
  </si>
  <si>
    <r>
      <rPr>
        <b/>
        <sz val="10"/>
        <color rgb="FFFF0000"/>
        <rFont val="맑은 고딕"/>
        <family val="3"/>
        <charset val="129"/>
      </rPr>
      <t>80%</t>
    </r>
    <r>
      <rPr>
        <b/>
        <sz val="10"/>
        <color indexed="8"/>
        <rFont val="맑은 고딕"/>
        <family val="3"/>
        <charset val="129"/>
      </rPr>
      <t xml:space="preserve"> 인정경력</t>
    </r>
    <phoneticPr fontId="4" type="noConversion"/>
  </si>
  <si>
    <t>95점 이상 적격</t>
    <phoneticPr fontId="4" type="noConversion"/>
  </si>
  <si>
    <t>설계감리</t>
  </si>
  <si>
    <t>시공</t>
  </si>
  <si>
    <t>2</t>
    <phoneticPr fontId="4" type="noConversion"/>
  </si>
  <si>
    <t xml:space="preserve"> *관련지침 [참여감리원 평가,배치계획표(양식4-1)]와 갈음함.</t>
    <phoneticPr fontId="4" type="noConversion"/>
  </si>
  <si>
    <r>
      <rPr>
        <b/>
        <sz val="11"/>
        <rFont val="맑은 고딕"/>
        <family val="3"/>
        <charset val="129"/>
      </rPr>
      <t>제본도서와 온라인제출물의 최종점수가 일치하는지 
확인 바랍니다.</t>
    </r>
    <r>
      <rPr>
        <b/>
        <sz val="11"/>
        <color rgb="FFFF0000"/>
        <rFont val="맑은 고딕"/>
        <family val="3"/>
        <charset val="129"/>
      </rPr>
      <t xml:space="preserve">
자기평가점수를 활용한 PQ심사(효율화PQ)는
온라인제출물(엑셀) 기준으로 함.</t>
    </r>
    <phoneticPr fontId="4" type="noConversion"/>
  </si>
  <si>
    <t>입찰참가자격(보유면허)</t>
    <phoneticPr fontId="4" type="noConversion"/>
  </si>
  <si>
    <t>-</t>
    <phoneticPr fontId="4" type="noConversion"/>
  </si>
  <si>
    <r>
      <t>※</t>
    </r>
    <r>
      <rPr>
        <b/>
        <sz val="11"/>
        <color indexed="10"/>
        <rFont val="맑은 고딕"/>
        <family val="3"/>
        <charset val="129"/>
      </rPr>
      <t>비상주</t>
    </r>
    <r>
      <rPr>
        <b/>
        <sz val="11"/>
        <rFont val="맑은 고딕"/>
        <family val="3"/>
        <charset val="129"/>
      </rPr>
      <t>감리원</t>
    </r>
    <r>
      <rPr>
        <sz val="11"/>
        <rFont val="맑은 고딕"/>
        <family val="3"/>
        <charset val="129"/>
      </rPr>
      <t xml:space="preserve"> 경력은 산정한 기간의 </t>
    </r>
    <r>
      <rPr>
        <b/>
        <sz val="11"/>
        <color indexed="10"/>
        <rFont val="맑은 고딕"/>
        <family val="3"/>
        <charset val="129"/>
      </rPr>
      <t>20%</t>
    </r>
    <r>
      <rPr>
        <sz val="11"/>
        <rFont val="맑은 고딕"/>
        <family val="3"/>
        <charset val="129"/>
      </rPr>
      <t xml:space="preserve"> 인정</t>
    </r>
    <r>
      <rPr>
        <b/>
        <sz val="11"/>
        <color indexed="10"/>
        <rFont val="맑은 고딕"/>
        <family val="3"/>
        <charset val="129"/>
      </rPr>
      <t>(동일기간 내 최대 5개소 경력 중복인정)</t>
    </r>
    <phoneticPr fontId="4" type="noConversion"/>
  </si>
  <si>
    <r>
      <t>※</t>
    </r>
    <r>
      <rPr>
        <b/>
        <sz val="11"/>
        <color indexed="10"/>
        <rFont val="맑은 고딕"/>
        <family val="3"/>
        <charset val="129"/>
      </rPr>
      <t>부분상주</t>
    </r>
    <r>
      <rPr>
        <b/>
        <sz val="11"/>
        <rFont val="맑은 고딕"/>
        <family val="3"/>
        <charset val="129"/>
      </rPr>
      <t>감리원</t>
    </r>
    <r>
      <rPr>
        <sz val="11"/>
        <rFont val="맑은 고딕"/>
        <family val="3"/>
        <charset val="129"/>
      </rPr>
      <t xml:space="preserve"> 경력은 '적용일수(O열)'의 </t>
    </r>
    <r>
      <rPr>
        <b/>
        <sz val="11"/>
        <color indexed="10"/>
        <rFont val="맑은 고딕"/>
        <family val="3"/>
        <charset val="129"/>
      </rPr>
      <t>수식 삭제 후</t>
    </r>
    <r>
      <rPr>
        <sz val="11"/>
        <rFont val="맑은 고딕"/>
        <family val="3"/>
        <charset val="129"/>
      </rPr>
      <t xml:space="preserve"> 경력확인서상의 </t>
    </r>
    <r>
      <rPr>
        <b/>
        <sz val="11"/>
        <color indexed="10"/>
        <rFont val="맑은 고딕"/>
        <family val="3"/>
        <charset val="129"/>
      </rPr>
      <t>실 참여일수를 적용일수에</t>
    </r>
    <r>
      <rPr>
        <sz val="11"/>
        <rFont val="맑은 고딕"/>
        <family val="3"/>
        <charset val="129"/>
      </rPr>
      <t xml:space="preserve"> 직접입력</t>
    </r>
    <phoneticPr fontId="4" type="noConversion"/>
  </si>
  <si>
    <t>중 복
여 부</t>
    <phoneticPr fontId="4" type="noConversion"/>
  </si>
  <si>
    <t>(☎:        직통번호  기재                )</t>
    <phoneticPr fontId="4" type="noConversion"/>
  </si>
  <si>
    <t>절대평가</t>
  </si>
  <si>
    <r>
      <t>자기평가서</t>
    </r>
    <r>
      <rPr>
        <sz val="12"/>
        <rFont val="맑은 고딕"/>
        <family val="3"/>
        <charset val="129"/>
      </rPr>
      <t>(당해용역이 주택건설공사인 경우)</t>
    </r>
    <phoneticPr fontId="4" type="noConversion"/>
  </si>
  <si>
    <t>단독</t>
    <phoneticPr fontId="4" type="noConversion"/>
  </si>
  <si>
    <t xml:space="preserve">대 표 자 : </t>
    <phoneticPr fontId="4" type="noConversion"/>
  </si>
  <si>
    <t xml:space="preserve">&lt;영업정지&gt; </t>
    <phoneticPr fontId="4" type="noConversion"/>
  </si>
  <si>
    <t>- 감리업체 : 최근 1년간 영업정지 합산기간 1월마다 0.2점 감점(1월 미만 : 1월)</t>
    <phoneticPr fontId="4" type="noConversion"/>
  </si>
  <si>
    <t>- 참여감리인 : 최근 1년간 기술자격정지 기간 합산하여 3월마다 0.2점 감점(3월 미만 : 3월)</t>
    <phoneticPr fontId="4" type="noConversion"/>
  </si>
  <si>
    <t>(인)</t>
  </si>
  <si>
    <t>aaa</t>
    <phoneticPr fontId="4" type="noConversion"/>
  </si>
  <si>
    <t>기술사(전기안전)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</si>
</sst>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176" formatCode="0.0_ "/>
    <numFmt numFmtId="177" formatCode="0.0"/>
    <numFmt numFmtId="178" formatCode="#,##0_ "/>
    <numFmt numFmtId="179" formatCode="#,##0_);[Red]\(#,##0\)"/>
    <numFmt numFmtId="180" formatCode="0&quot;점&quot;"/>
    <numFmt numFmtId="181" formatCode="0.00_);[Red]\(0.00\)"/>
    <numFmt numFmtId="182" formatCode="0.00_ "/>
    <numFmt numFmtId="183" formatCode="0.0_);[Red]\(0.0\)"/>
    <numFmt numFmtId="184" formatCode="0_ "/>
    <numFmt numFmtId="185" formatCode="0.00_ ;[Red]\-0.00\ "/>
    <numFmt numFmtId="186" formatCode="yyyy\.mm\.dd"/>
    <numFmt numFmtId="187" formatCode="##.00\ &quot;주&quot;"/>
    <numFmt numFmtId="188" formatCode="General&quot;인&quot;"/>
    <numFmt numFmtId="189" formatCode="General&quot;이상&quot;"/>
    <numFmt numFmtId="190" formatCode="General&quot;미만&quot;"/>
    <numFmt numFmtId="191" formatCode="0&quot;이상&quot;"/>
    <numFmt numFmtId="192" formatCode="#,#00&quot;천원&quot;"/>
    <numFmt numFmtId="193" formatCode="General&quot;억&quot;"/>
    <numFmt numFmtId="194" formatCode="0.00&quot;년&quot;"/>
    <numFmt numFmtId="195" formatCode="0.00&quot;점&quot;"/>
    <numFmt numFmtId="196" formatCode="0&quot;일&quot;"/>
    <numFmt numFmtId="197" formatCode="0&quot;H&quot;"/>
    <numFmt numFmtId="198" formatCode="0_);[Red]\(0\);\-"/>
    <numFmt numFmtId="199" formatCode="0.00&quot;월&quot;"/>
    <numFmt numFmtId="200" formatCode="#,###&quot;세대&quot;"/>
    <numFmt numFmtId="201" formatCode="0&quot;년이상&quot;"/>
    <numFmt numFmtId="202" formatCode="0&quot;년미만&quot;"/>
    <numFmt numFmtId="203" formatCode="0.00\ &quot;만㎡&quot;"/>
    <numFmt numFmtId="204" formatCode="0_);[Red]\(0\)"/>
    <numFmt numFmtId="205" formatCode="#,##0.0000_ "/>
    <numFmt numFmtId="206" formatCode="0&quot;미만&quot;"/>
    <numFmt numFmtId="207" formatCode="0.0000000000_ "/>
    <numFmt numFmtId="208" formatCode="General&quot;건&quot;"/>
    <numFmt numFmtId="209" formatCode="#,##0.00_);[Red]\(#,##0.00\)"/>
    <numFmt numFmtId="210" formatCode="##&quot;주&quot;"/>
    <numFmt numFmtId="211" formatCode="0.00&quot;억&quot;"/>
  </numFmts>
  <fonts count="15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sz val="11"/>
      <name val="신명조"/>
      <family val="3"/>
      <charset val="129"/>
    </font>
    <font>
      <b/>
      <sz val="13"/>
      <name val="신명조"/>
      <family val="3"/>
      <charset val="129"/>
    </font>
    <font>
      <b/>
      <sz val="12"/>
      <color indexed="10"/>
      <name val="굴림"/>
      <family val="3"/>
      <charset val="129"/>
    </font>
    <font>
      <b/>
      <sz val="11"/>
      <name val="신명조"/>
      <family val="3"/>
      <charset val="129"/>
    </font>
    <font>
      <sz val="10"/>
      <name val="신명조"/>
      <family val="3"/>
      <charset val="129"/>
    </font>
    <font>
      <b/>
      <sz val="12"/>
      <name val="돋움"/>
      <family val="3"/>
      <charset val="129"/>
    </font>
    <font>
      <b/>
      <sz val="12"/>
      <color indexed="12"/>
      <name val="굴림"/>
      <family val="3"/>
      <charset val="129"/>
    </font>
    <font>
      <b/>
      <sz val="11"/>
      <color indexed="12"/>
      <name val="굴림"/>
      <family val="3"/>
      <charset val="129"/>
    </font>
    <font>
      <b/>
      <sz val="11"/>
      <name val="굴림"/>
      <family val="3"/>
      <charset val="129"/>
    </font>
    <font>
      <b/>
      <sz val="12"/>
      <name val="굴림"/>
      <family val="3"/>
      <charset val="129"/>
    </font>
    <font>
      <b/>
      <u/>
      <sz val="20"/>
      <name val="굴림"/>
      <family val="3"/>
      <charset val="129"/>
    </font>
    <font>
      <sz val="10"/>
      <name val="굴림"/>
      <family val="3"/>
      <charset val="129"/>
    </font>
    <font>
      <b/>
      <sz val="16"/>
      <color indexed="10"/>
      <name val="굴림"/>
      <family val="3"/>
      <charset val="129"/>
    </font>
    <font>
      <b/>
      <sz val="11"/>
      <color indexed="10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.5"/>
      <name val="맑은 고딕"/>
      <family val="3"/>
      <charset val="129"/>
    </font>
    <font>
      <sz val="11"/>
      <name val="HY신명조"/>
      <family val="1"/>
      <charset val="129"/>
    </font>
    <font>
      <b/>
      <sz val="16"/>
      <name val="HY신명조"/>
      <family val="1"/>
      <charset val="129"/>
    </font>
    <font>
      <sz val="12"/>
      <name val="HY신명조"/>
      <family val="1"/>
      <charset val="129"/>
    </font>
    <font>
      <b/>
      <sz val="10"/>
      <color indexed="12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indexed="10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맑은 고딕"/>
      <family val="3"/>
      <charset val="129"/>
    </font>
    <font>
      <b/>
      <sz val="13"/>
      <name val="HY신명조"/>
      <family val="1"/>
      <charset val="129"/>
    </font>
    <font>
      <b/>
      <sz val="11"/>
      <color indexed="10"/>
      <name val="맑은 고딕"/>
      <family val="3"/>
      <charset val="129"/>
    </font>
    <font>
      <b/>
      <sz val="11.5"/>
      <color indexed="10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1.5"/>
      <name val="맑은 고딕"/>
      <family val="3"/>
      <charset val="129"/>
    </font>
    <font>
      <b/>
      <sz val="11"/>
      <color indexed="12"/>
      <name val="굴림"/>
      <family val="3"/>
      <charset val="129"/>
    </font>
    <font>
      <sz val="11.5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11.5"/>
      <color indexed="10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b/>
      <sz val="13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b/>
      <sz val="14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color indexed="12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5"/>
      <name val="맑은 고딕"/>
      <family val="3"/>
      <charset val="129"/>
    </font>
    <font>
      <b/>
      <sz val="25"/>
      <name val="맑은 고딕"/>
      <family val="3"/>
      <charset val="129"/>
    </font>
    <font>
      <b/>
      <sz val="15"/>
      <name val="맑은 고딕"/>
      <family val="3"/>
      <charset val="129"/>
    </font>
    <font>
      <b/>
      <sz val="20"/>
      <name val="맑은 고딕"/>
      <family val="3"/>
      <charset val="129"/>
    </font>
    <font>
      <sz val="9"/>
      <name val="맑은 고딕"/>
      <family val="3"/>
      <charset val="129"/>
    </font>
    <font>
      <b/>
      <sz val="18"/>
      <name val="HY신명조"/>
      <family val="1"/>
      <charset val="129"/>
    </font>
    <font>
      <b/>
      <sz val="7"/>
      <color indexed="8"/>
      <name val="맑은 고딕"/>
      <family val="3"/>
      <charset val="129"/>
    </font>
    <font>
      <b/>
      <sz val="11"/>
      <color indexed="30"/>
      <name val="맑은 고딕"/>
      <family val="3"/>
      <charset val="129"/>
    </font>
    <font>
      <b/>
      <u/>
      <sz val="11"/>
      <color indexed="10"/>
      <name val="맑은 고딕"/>
      <family val="3"/>
      <charset val="129"/>
    </font>
    <font>
      <sz val="11"/>
      <color indexed="14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10"/>
      <name val="맑은 고딕"/>
      <family val="3"/>
      <charset val="129"/>
      <scheme val="minor"/>
    </font>
    <font>
      <sz val="11"/>
      <color indexed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color indexed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indexed="10"/>
      <name val="맑은 고딕"/>
      <family val="3"/>
      <charset val="129"/>
      <scheme val="minor"/>
    </font>
    <font>
      <sz val="12"/>
      <color indexed="12"/>
      <name val="맑은 고딕"/>
      <family val="3"/>
      <charset val="129"/>
      <scheme val="minor"/>
    </font>
    <font>
      <b/>
      <sz val="11"/>
      <color indexed="12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  <scheme val="minor"/>
    </font>
    <font>
      <sz val="10"/>
      <color indexed="10"/>
      <name val="맑은 고딕"/>
      <family val="3"/>
      <charset val="129"/>
      <scheme val="minor"/>
    </font>
    <font>
      <sz val="10"/>
      <color indexed="12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2"/>
      <color rgb="FFFC0000"/>
      <name val="한양신명조"/>
      <family val="3"/>
      <charset val="129"/>
    </font>
    <font>
      <b/>
      <sz val="15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0"/>
      <color rgb="FFFF0000"/>
      <name val="한양신명조"/>
      <family val="3"/>
      <charset val="129"/>
    </font>
    <font>
      <b/>
      <sz val="15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color rgb="FF002060"/>
      <name val="맑은 고딕"/>
      <family val="3"/>
      <charset val="129"/>
    </font>
    <font>
      <sz val="10"/>
      <color rgb="FF000000"/>
      <name val="한양신명조"/>
      <family val="3"/>
      <charset val="129"/>
    </font>
    <font>
      <sz val="10"/>
      <color indexed="8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4"/>
      <color indexed="8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6"/>
      <color indexed="12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12"/>
      <name val="맑은 고딕"/>
      <family val="3"/>
      <charset val="129"/>
      <scheme val="major"/>
    </font>
    <font>
      <b/>
      <sz val="11"/>
      <color indexed="10"/>
      <name val="맑은 고딕"/>
      <family val="3"/>
      <charset val="129"/>
      <scheme val="major"/>
    </font>
    <font>
      <b/>
      <sz val="11"/>
      <color indexed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3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11.5"/>
      <color rgb="FFFF0000"/>
      <name val="맑은 고딕"/>
      <family val="3"/>
      <charset val="129"/>
    </font>
    <font>
      <b/>
      <sz val="12"/>
      <color indexed="81"/>
      <name val="돋움"/>
      <family val="3"/>
      <charset val="129"/>
    </font>
    <font>
      <b/>
      <u/>
      <sz val="12"/>
      <color indexed="81"/>
      <name val="돋움"/>
      <family val="3"/>
      <charset val="129"/>
    </font>
    <font>
      <b/>
      <sz val="12"/>
      <color rgb="FF0000FF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lightUp">
        <bgColor indexed="43"/>
      </patternFill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B7B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lightUp">
        <bgColor theme="0" tint="-0.14999847407452621"/>
      </patternFill>
    </fill>
    <fill>
      <patternFill patternType="solid">
        <fgColor rgb="FFF2F2F2"/>
        <bgColor indexed="64"/>
      </patternFill>
    </fill>
    <fill>
      <patternFill patternType="lightUp"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rgb="FFDDDDDD"/>
      </patternFill>
    </fill>
    <fill>
      <patternFill patternType="lightUp">
        <bgColor rgb="FFC0C0C0"/>
      </patternFill>
    </fill>
    <fill>
      <patternFill patternType="lightUp"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15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</cellStyleXfs>
  <cellXfs count="1955">
    <xf numFmtId="0" fontId="0" fillId="0" borderId="0" xfId="0"/>
    <xf numFmtId="0" fontId="7" fillId="0" borderId="0" xfId="0" applyFont="1" applyAlignment="1">
      <alignment vertical="center"/>
    </xf>
    <xf numFmtId="179" fontId="0" fillId="0" borderId="0" xfId="0" applyNumberFormat="1"/>
    <xf numFmtId="0" fontId="10" fillId="0" borderId="0" xfId="0" applyFont="1" applyAlignment="1">
      <alignment vertical="center"/>
    </xf>
    <xf numFmtId="0" fontId="15" fillId="0" borderId="0" xfId="0" applyFont="1"/>
    <xf numFmtId="0" fontId="6" fillId="0" borderId="0" xfId="0" applyFont="1"/>
    <xf numFmtId="0" fontId="15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Fill="1"/>
    <xf numFmtId="0" fontId="16" fillId="0" borderId="0" xfId="0" applyFont="1"/>
    <xf numFmtId="0" fontId="15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8" fillId="0" borderId="0" xfId="5" applyFont="1">
      <alignment vertical="center"/>
    </xf>
    <xf numFmtId="0" fontId="49" fillId="0" borderId="0" xfId="5" applyFont="1" applyBorder="1" applyAlignment="1">
      <alignment horizontal="center" vertical="center" wrapText="1"/>
    </xf>
    <xf numFmtId="0" fontId="50" fillId="0" borderId="9" xfId="5" applyFont="1" applyBorder="1" applyAlignment="1">
      <alignment horizontal="center" vertical="center" wrapText="1"/>
    </xf>
    <xf numFmtId="0" fontId="50" fillId="0" borderId="10" xfId="5" applyFont="1" applyBorder="1" applyAlignment="1">
      <alignment horizontal="center" vertical="center" wrapText="1"/>
    </xf>
    <xf numFmtId="0" fontId="51" fillId="0" borderId="10" xfId="5" applyFont="1" applyBorder="1" applyAlignment="1">
      <alignment horizontal="center" vertical="center" wrapText="1"/>
    </xf>
    <xf numFmtId="0" fontId="52" fillId="0" borderId="6" xfId="5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3" borderId="17" xfId="0" applyFont="1" applyFill="1" applyBorder="1" applyAlignment="1">
      <alignment horizontal="center" vertical="center" wrapText="1"/>
    </xf>
    <xf numFmtId="0" fontId="48" fillId="3" borderId="18" xfId="0" applyFont="1" applyFill="1" applyBorder="1" applyAlignment="1">
      <alignment horizontal="center" vertical="center"/>
    </xf>
    <xf numFmtId="0" fontId="48" fillId="3" borderId="0" xfId="0" applyFont="1" applyFill="1" applyAlignment="1">
      <alignment vertical="center"/>
    </xf>
    <xf numFmtId="0" fontId="48" fillId="0" borderId="0" xfId="8" applyFont="1" applyBorder="1">
      <alignment vertical="center"/>
    </xf>
    <xf numFmtId="0" fontId="3" fillId="0" borderId="0" xfId="8">
      <alignment vertical="center"/>
    </xf>
    <xf numFmtId="0" fontId="3" fillId="0" borderId="0" xfId="8" applyBorder="1">
      <alignment vertical="center"/>
    </xf>
    <xf numFmtId="0" fontId="6" fillId="0" borderId="0" xfId="8" applyFont="1" applyBorder="1">
      <alignment vertical="center"/>
    </xf>
    <xf numFmtId="49" fontId="48" fillId="0" borderId="0" xfId="8" applyNumberFormat="1" applyFont="1" applyBorder="1">
      <alignment vertical="center"/>
    </xf>
    <xf numFmtId="49" fontId="6" fillId="0" borderId="0" xfId="8" applyNumberFormat="1" applyFont="1">
      <alignment vertical="center"/>
    </xf>
    <xf numFmtId="0" fontId="6" fillId="0" borderId="0" xfId="8" applyFont="1">
      <alignment vertical="center"/>
    </xf>
    <xf numFmtId="49" fontId="54" fillId="0" borderId="0" xfId="8" applyNumberFormat="1" applyFont="1" applyBorder="1">
      <alignment vertical="center"/>
    </xf>
    <xf numFmtId="49" fontId="55" fillId="0" borderId="0" xfId="8" applyNumberFormat="1" applyFont="1" applyAlignment="1">
      <alignment vertical="center"/>
    </xf>
    <xf numFmtId="0" fontId="55" fillId="0" borderId="0" xfId="8" applyFont="1" applyAlignment="1">
      <alignment vertical="center"/>
    </xf>
    <xf numFmtId="0" fontId="13" fillId="0" borderId="0" xfId="8" applyFont="1" applyBorder="1">
      <alignment vertical="center"/>
    </xf>
    <xf numFmtId="49" fontId="56" fillId="0" borderId="0" xfId="8" applyNumberFormat="1" applyFont="1" applyBorder="1">
      <alignment vertical="center"/>
    </xf>
    <xf numFmtId="49" fontId="56" fillId="0" borderId="0" xfId="8" applyNumberFormat="1" applyFont="1" applyFill="1" applyBorder="1">
      <alignment vertical="center"/>
    </xf>
    <xf numFmtId="49" fontId="5" fillId="0" borderId="0" xfId="8" applyNumberFormat="1" applyFont="1">
      <alignment vertical="center"/>
    </xf>
    <xf numFmtId="49" fontId="57" fillId="3" borderId="6" xfId="8" applyNumberFormat="1" applyFont="1" applyFill="1" applyBorder="1" applyAlignment="1">
      <alignment horizontal="center" vertical="center"/>
    </xf>
    <xf numFmtId="0" fontId="57" fillId="3" borderId="6" xfId="8" applyFont="1" applyFill="1" applyBorder="1" applyAlignment="1">
      <alignment horizontal="center" vertical="center"/>
    </xf>
    <xf numFmtId="0" fontId="5" fillId="0" borderId="0" xfId="8" applyFont="1">
      <alignment vertical="center"/>
    </xf>
    <xf numFmtId="0" fontId="5" fillId="0" borderId="0" xfId="8" applyFont="1" applyBorder="1">
      <alignment vertical="center"/>
    </xf>
    <xf numFmtId="0" fontId="56" fillId="0" borderId="0" xfId="8" applyFont="1" applyBorder="1">
      <alignment vertical="center"/>
    </xf>
    <xf numFmtId="0" fontId="7" fillId="0" borderId="0" xfId="8" applyFont="1">
      <alignment vertical="center"/>
    </xf>
    <xf numFmtId="49" fontId="13" fillId="0" borderId="0" xfId="8" applyNumberFormat="1" applyFont="1">
      <alignment vertical="center"/>
    </xf>
    <xf numFmtId="49" fontId="59" fillId="0" borderId="0" xfId="8" applyNumberFormat="1" applyFont="1" applyBorder="1">
      <alignment vertical="center"/>
    </xf>
    <xf numFmtId="49" fontId="15" fillId="0" borderId="0" xfId="8" applyNumberFormat="1" applyFont="1">
      <alignment vertical="center"/>
    </xf>
    <xf numFmtId="0" fontId="9" fillId="0" borderId="0" xfId="8" applyFont="1" applyBorder="1">
      <alignment vertical="center"/>
    </xf>
    <xf numFmtId="0" fontId="54" fillId="0" borderId="0" xfId="8" applyFont="1" applyBorder="1">
      <alignment vertical="center"/>
    </xf>
    <xf numFmtId="0" fontId="13" fillId="0" borderId="0" xfId="8" applyFont="1">
      <alignment vertical="center"/>
    </xf>
    <xf numFmtId="0" fontId="2" fillId="0" borderId="0" xfId="8" applyFont="1">
      <alignment vertical="center"/>
    </xf>
    <xf numFmtId="0" fontId="15" fillId="0" borderId="0" xfId="8" applyFont="1">
      <alignment vertical="center"/>
    </xf>
    <xf numFmtId="49" fontId="48" fillId="0" borderId="6" xfId="8" applyNumberFormat="1" applyFont="1" applyBorder="1" applyAlignment="1">
      <alignment horizontal="center" vertical="center"/>
    </xf>
    <xf numFmtId="0" fontId="58" fillId="0" borderId="0" xfId="8" applyFont="1" applyBorder="1">
      <alignment vertical="center"/>
    </xf>
    <xf numFmtId="0" fontId="60" fillId="0" borderId="0" xfId="8" applyFont="1" applyBorder="1">
      <alignment vertical="center"/>
    </xf>
    <xf numFmtId="0" fontId="21" fillId="0" borderId="0" xfId="8" applyFont="1" applyBorder="1">
      <alignment vertical="center"/>
    </xf>
    <xf numFmtId="0" fontId="54" fillId="0" borderId="0" xfId="0" applyNumberFormat="1" applyFont="1" applyBorder="1" applyAlignment="1">
      <alignment vertical="center"/>
    </xf>
    <xf numFmtId="0" fontId="31" fillId="0" borderId="0" xfId="0" applyFont="1"/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3" fillId="0" borderId="0" xfId="0" applyFont="1"/>
    <xf numFmtId="0" fontId="31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Border="1" applyAlignment="1">
      <alignment vertical="center" wrapText="1"/>
    </xf>
    <xf numFmtId="182" fontId="63" fillId="4" borderId="19" xfId="0" applyNumberFormat="1" applyFont="1" applyFill="1" applyBorder="1" applyAlignment="1">
      <alignment horizontal="center" vertical="center" wrapText="1"/>
    </xf>
    <xf numFmtId="0" fontId="18" fillId="0" borderId="0" xfId="8" applyFont="1" applyBorder="1" applyAlignment="1">
      <alignment horizontal="left" vertical="center"/>
    </xf>
    <xf numFmtId="0" fontId="36" fillId="0" borderId="20" xfId="8" applyFont="1" applyBorder="1">
      <alignment vertical="center"/>
    </xf>
    <xf numFmtId="0" fontId="37" fillId="0" borderId="21" xfId="8" applyFont="1" applyBorder="1">
      <alignment vertical="center"/>
    </xf>
    <xf numFmtId="0" fontId="58" fillId="0" borderId="6" xfId="8" applyFont="1" applyBorder="1">
      <alignment vertical="center"/>
    </xf>
    <xf numFmtId="0" fontId="18" fillId="0" borderId="22" xfId="8" applyFont="1" applyBorder="1">
      <alignment vertical="center"/>
    </xf>
    <xf numFmtId="49" fontId="5" fillId="5" borderId="0" xfId="0" applyNumberFormat="1" applyFont="1" applyFill="1" applyAlignment="1">
      <alignment vertical="center"/>
    </xf>
    <xf numFmtId="49" fontId="6" fillId="5" borderId="0" xfId="0" applyNumberFormat="1" applyFont="1" applyFill="1" applyAlignment="1">
      <alignment vertical="center"/>
    </xf>
    <xf numFmtId="49" fontId="5" fillId="5" borderId="0" xfId="0" applyNumberFormat="1" applyFont="1" applyFill="1" applyAlignment="1">
      <alignment vertical="center" wrapText="1"/>
    </xf>
    <xf numFmtId="0" fontId="0" fillId="5" borderId="0" xfId="0" applyFont="1" applyFill="1" applyAlignment="1">
      <alignment vertical="center"/>
    </xf>
    <xf numFmtId="0" fontId="48" fillId="5" borderId="0" xfId="8" applyFont="1" applyFill="1" applyBorder="1">
      <alignment vertical="center"/>
    </xf>
    <xf numFmtId="49" fontId="58" fillId="6" borderId="6" xfId="0" applyNumberFormat="1" applyFont="1" applyFill="1" applyBorder="1" applyAlignment="1">
      <alignment horizontal="center" vertical="center" shrinkToFit="1"/>
    </xf>
    <xf numFmtId="49" fontId="58" fillId="6" borderId="23" xfId="0" applyNumberFormat="1" applyFont="1" applyFill="1" applyBorder="1" applyAlignment="1">
      <alignment horizontal="center" vertical="center" shrinkToFit="1"/>
    </xf>
    <xf numFmtId="49" fontId="36" fillId="0" borderId="0" xfId="0" applyNumberFormat="1" applyFont="1" applyAlignment="1">
      <alignment vertical="center"/>
    </xf>
    <xf numFmtId="49" fontId="56" fillId="0" borderId="0" xfId="0" applyNumberFormat="1" applyFont="1" applyAlignment="1">
      <alignment vertical="center"/>
    </xf>
    <xf numFmtId="49" fontId="56" fillId="0" borderId="0" xfId="0" applyNumberFormat="1" applyFont="1" applyFill="1" applyAlignment="1">
      <alignment vertical="center"/>
    </xf>
    <xf numFmtId="49" fontId="56" fillId="0" borderId="0" xfId="0" applyNumberFormat="1" applyFont="1" applyFill="1" applyAlignment="1">
      <alignment horizontal="left" vertical="center" wrapText="1"/>
    </xf>
    <xf numFmtId="49" fontId="56" fillId="0" borderId="0" xfId="0" applyNumberFormat="1" applyFont="1" applyFill="1" applyAlignment="1">
      <alignment vertical="center" wrapText="1"/>
    </xf>
    <xf numFmtId="0" fontId="58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8" fillId="0" borderId="0" xfId="9" applyFont="1">
      <alignment vertical="center"/>
    </xf>
    <xf numFmtId="0" fontId="48" fillId="5" borderId="0" xfId="9" applyFont="1" applyFill="1">
      <alignment vertical="center"/>
    </xf>
    <xf numFmtId="0" fontId="69" fillId="0" borderId="0" xfId="9" applyFont="1">
      <alignment vertical="center"/>
    </xf>
    <xf numFmtId="0" fontId="69" fillId="5" borderId="0" xfId="9" applyFont="1" applyFill="1">
      <alignment vertical="center"/>
    </xf>
    <xf numFmtId="0" fontId="57" fillId="0" borderId="0" xfId="9" applyFont="1">
      <alignment vertical="center"/>
    </xf>
    <xf numFmtId="186" fontId="57" fillId="5" borderId="0" xfId="9" applyNumberFormat="1" applyFont="1" applyFill="1" applyAlignment="1">
      <alignment horizontal="center" vertical="center"/>
    </xf>
    <xf numFmtId="0" fontId="71" fillId="5" borderId="0" xfId="9" applyFont="1" applyFill="1" applyBorder="1" applyAlignment="1">
      <alignment horizontal="center" vertical="center" wrapText="1"/>
    </xf>
    <xf numFmtId="9" fontId="58" fillId="4" borderId="6" xfId="2" applyFont="1" applyFill="1" applyBorder="1" applyAlignment="1">
      <alignment horizontal="center" vertical="center"/>
    </xf>
    <xf numFmtId="184" fontId="58" fillId="6" borderId="6" xfId="9" applyNumberFormat="1" applyFont="1" applyFill="1" applyBorder="1" applyAlignment="1">
      <alignment horizontal="center" vertical="center"/>
    </xf>
    <xf numFmtId="0" fontId="61" fillId="5" borderId="0" xfId="9" applyFont="1" applyFill="1" applyBorder="1" applyAlignment="1">
      <alignment horizontal="center" vertical="center"/>
    </xf>
    <xf numFmtId="183" fontId="61" fillId="5" borderId="0" xfId="9" applyNumberFormat="1" applyFont="1" applyFill="1" applyBorder="1" applyAlignment="1">
      <alignment horizontal="center" vertical="center"/>
    </xf>
    <xf numFmtId="0" fontId="69" fillId="5" borderId="0" xfId="9" applyFont="1" applyFill="1" applyAlignment="1">
      <alignment horizontal="left" vertical="center"/>
    </xf>
    <xf numFmtId="0" fontId="57" fillId="5" borderId="0" xfId="9" applyFont="1" applyFill="1" applyAlignment="1">
      <alignment horizontal="right" vertical="center"/>
    </xf>
    <xf numFmtId="0" fontId="58" fillId="0" borderId="0" xfId="9" applyFont="1" applyAlignment="1">
      <alignment horizontal="right"/>
    </xf>
    <xf numFmtId="0" fontId="58" fillId="0" borderId="0" xfId="9" applyFont="1">
      <alignment vertical="center"/>
    </xf>
    <xf numFmtId="0" fontId="71" fillId="5" borderId="0" xfId="9" applyFont="1" applyFill="1" applyBorder="1" applyAlignment="1">
      <alignment horizontal="center" vertical="center"/>
    </xf>
    <xf numFmtId="186" fontId="70" fillId="0" borderId="0" xfId="9" applyNumberFormat="1" applyFont="1" applyAlignment="1">
      <alignment horizontal="right" vertical="center"/>
    </xf>
    <xf numFmtId="14" fontId="70" fillId="0" borderId="0" xfId="9" applyNumberFormat="1" applyFont="1" applyAlignment="1">
      <alignment horizontal="right" vertical="center"/>
    </xf>
    <xf numFmtId="14" fontId="70" fillId="0" borderId="0" xfId="9" applyNumberFormat="1" applyFont="1" applyAlignment="1">
      <alignment horizontal="left" vertical="center"/>
    </xf>
    <xf numFmtId="0" fontId="58" fillId="5" borderId="0" xfId="9" applyFont="1" applyFill="1" applyAlignment="1">
      <alignment horizontal="left" vertical="center"/>
    </xf>
    <xf numFmtId="49" fontId="58" fillId="6" borderId="25" xfId="0" applyNumberFormat="1" applyFont="1" applyFill="1" applyBorder="1" applyAlignment="1">
      <alignment horizontal="center" vertical="center" wrapText="1" shrinkToFit="1"/>
    </xf>
    <xf numFmtId="49" fontId="58" fillId="6" borderId="25" xfId="0" applyNumberFormat="1" applyFont="1" applyFill="1" applyBorder="1" applyAlignment="1">
      <alignment horizontal="center" vertical="center" shrinkToFit="1"/>
    </xf>
    <xf numFmtId="49" fontId="58" fillId="6" borderId="26" xfId="0" applyNumberFormat="1" applyFont="1" applyFill="1" applyBorder="1" applyAlignment="1">
      <alignment horizontal="center" vertical="center" shrinkToFit="1"/>
    </xf>
    <xf numFmtId="0" fontId="57" fillId="0" borderId="24" xfId="8" applyFont="1" applyBorder="1" applyAlignment="1">
      <alignment horizontal="left" vertical="center"/>
    </xf>
    <xf numFmtId="49" fontId="57" fillId="0" borderId="27" xfId="8" applyNumberFormat="1" applyFont="1" applyBorder="1" applyAlignment="1">
      <alignment horizontal="left" vertical="center" wrapText="1"/>
    </xf>
    <xf numFmtId="0" fontId="48" fillId="0" borderId="0" xfId="0" applyFont="1"/>
    <xf numFmtId="49" fontId="56" fillId="0" borderId="28" xfId="0" applyNumberFormat="1" applyFont="1" applyBorder="1" applyAlignment="1">
      <alignment vertical="center"/>
    </xf>
    <xf numFmtId="0" fontId="48" fillId="0" borderId="29" xfId="0" applyFont="1" applyBorder="1"/>
    <xf numFmtId="0" fontId="61" fillId="7" borderId="2" xfId="0" applyFont="1" applyFill="1" applyBorder="1" applyAlignment="1">
      <alignment horizontal="center" vertical="center" wrapText="1"/>
    </xf>
    <xf numFmtId="189" fontId="48" fillId="4" borderId="4" xfId="0" applyNumberFormat="1" applyFont="1" applyFill="1" applyBorder="1" applyAlignment="1">
      <alignment horizontal="center" vertical="center"/>
    </xf>
    <xf numFmtId="191" fontId="48" fillId="4" borderId="4" xfId="3" applyNumberFormat="1" applyFont="1" applyFill="1" applyBorder="1" applyAlignment="1">
      <alignment horizontal="center" vertical="center" wrapText="1"/>
    </xf>
    <xf numFmtId="190" fontId="48" fillId="4" borderId="4" xfId="0" applyNumberFormat="1" applyFont="1" applyFill="1" applyBorder="1" applyAlignment="1">
      <alignment horizontal="center" vertical="center"/>
    </xf>
    <xf numFmtId="191" fontId="48" fillId="4" borderId="30" xfId="0" applyNumberFormat="1" applyFont="1" applyFill="1" applyBorder="1" applyAlignment="1">
      <alignment horizontal="center" vertical="center"/>
    </xf>
    <xf numFmtId="0" fontId="48" fillId="0" borderId="6" xfId="8" applyFont="1" applyBorder="1" applyAlignment="1">
      <alignment horizontal="center" vertical="center"/>
    </xf>
    <xf numFmtId="192" fontId="58" fillId="4" borderId="6" xfId="4" applyNumberFormat="1" applyFont="1" applyFill="1" applyBorder="1" applyAlignment="1">
      <alignment horizontal="right" vertical="center"/>
    </xf>
    <xf numFmtId="192" fontId="58" fillId="6" borderId="25" xfId="4" applyNumberFormat="1" applyFont="1" applyFill="1" applyBorder="1" applyAlignment="1">
      <alignment horizontal="right" vertical="center" wrapText="1"/>
    </xf>
    <xf numFmtId="192" fontId="58" fillId="6" borderId="31" xfId="4" applyNumberFormat="1" applyFont="1" applyFill="1" applyBorder="1" applyAlignment="1">
      <alignment horizontal="right" vertical="center" wrapText="1"/>
    </xf>
    <xf numFmtId="0" fontId="58" fillId="0" borderId="21" xfId="8" applyFont="1" applyBorder="1">
      <alignment vertical="center"/>
    </xf>
    <xf numFmtId="0" fontId="60" fillId="0" borderId="0" xfId="0" applyFont="1"/>
    <xf numFmtId="0" fontId="60" fillId="0" borderId="0" xfId="0" applyFont="1" applyAlignment="1">
      <alignment horizontal="center"/>
    </xf>
    <xf numFmtId="2" fontId="60" fillId="0" borderId="0" xfId="0" applyNumberFormat="1" applyFont="1"/>
    <xf numFmtId="0" fontId="62" fillId="0" borderId="0" xfId="0" applyFont="1" applyAlignment="1">
      <alignment horizontal="left" vertical="center"/>
    </xf>
    <xf numFmtId="0" fontId="58" fillId="0" borderId="0" xfId="0" quotePrefix="1" applyFont="1" applyBorder="1" applyAlignment="1">
      <alignment vertical="center" wrapText="1"/>
    </xf>
    <xf numFmtId="0" fontId="58" fillId="0" borderId="0" xfId="0" quotePrefix="1" applyFont="1" applyBorder="1" applyAlignment="1">
      <alignment vertical="center"/>
    </xf>
    <xf numFmtId="0" fontId="62" fillId="0" borderId="0" xfId="0" applyFont="1"/>
    <xf numFmtId="0" fontId="57" fillId="0" borderId="0" xfId="0" applyFont="1"/>
    <xf numFmtId="179" fontId="57" fillId="0" borderId="0" xfId="0" applyNumberFormat="1" applyFont="1" applyAlignment="1">
      <alignment horizontal="right"/>
    </xf>
    <xf numFmtId="179" fontId="57" fillId="0" borderId="0" xfId="0" applyNumberFormat="1" applyFont="1" applyAlignment="1">
      <alignment horizontal="left"/>
    </xf>
    <xf numFmtId="0" fontId="57" fillId="0" borderId="0" xfId="0" applyFont="1" applyAlignment="1">
      <alignment vertical="center"/>
    </xf>
    <xf numFmtId="0" fontId="48" fillId="0" borderId="0" xfId="11" applyFont="1">
      <alignment vertical="center"/>
    </xf>
    <xf numFmtId="0" fontId="48" fillId="0" borderId="0" xfId="11" applyFont="1" applyAlignment="1">
      <alignment horizontal="center" vertical="center"/>
    </xf>
    <xf numFmtId="0" fontId="69" fillId="0" borderId="0" xfId="11" applyFont="1">
      <alignment vertical="center"/>
    </xf>
    <xf numFmtId="186" fontId="57" fillId="5" borderId="0" xfId="11" applyNumberFormat="1" applyFont="1" applyFill="1" applyBorder="1" applyAlignment="1">
      <alignment horizontal="left" vertical="center"/>
    </xf>
    <xf numFmtId="0" fontId="69" fillId="0" borderId="0" xfId="11" applyFont="1" applyAlignment="1">
      <alignment horizontal="center" vertical="center"/>
    </xf>
    <xf numFmtId="0" fontId="57" fillId="0" borderId="0" xfId="11" applyFont="1">
      <alignment vertical="center"/>
    </xf>
    <xf numFmtId="0" fontId="70" fillId="0" borderId="0" xfId="11" applyFont="1" applyAlignment="1">
      <alignment vertical="center"/>
    </xf>
    <xf numFmtId="186" fontId="70" fillId="0" borderId="0" xfId="11" applyNumberFormat="1" applyFont="1" applyAlignment="1">
      <alignment horizontal="right" vertical="center"/>
    </xf>
    <xf numFmtId="14" fontId="70" fillId="0" borderId="0" xfId="11" applyNumberFormat="1" applyFont="1" applyAlignment="1">
      <alignment horizontal="center" vertical="center"/>
    </xf>
    <xf numFmtId="14" fontId="70" fillId="0" borderId="0" xfId="11" applyNumberFormat="1" applyFont="1">
      <alignment vertical="center"/>
    </xf>
    <xf numFmtId="0" fontId="57" fillId="0" borderId="0" xfId="11" applyFont="1" applyAlignment="1">
      <alignment horizontal="center" vertical="center"/>
    </xf>
    <xf numFmtId="0" fontId="58" fillId="0" borderId="0" xfId="11" quotePrefix="1" applyFont="1" applyAlignment="1">
      <alignment vertical="center"/>
    </xf>
    <xf numFmtId="14" fontId="58" fillId="6" borderId="30" xfId="11" applyNumberFormat="1" applyFont="1" applyFill="1" applyBorder="1" applyAlignment="1">
      <alignment horizontal="center" vertical="center"/>
    </xf>
    <xf numFmtId="0" fontId="58" fillId="0" borderId="0" xfId="11" quotePrefix="1" applyFont="1" applyAlignment="1">
      <alignment horizontal="left" vertical="top"/>
    </xf>
    <xf numFmtId="14" fontId="58" fillId="6" borderId="25" xfId="11" applyNumberFormat="1" applyFont="1" applyFill="1" applyBorder="1" applyAlignment="1">
      <alignment horizontal="center" vertical="center"/>
    </xf>
    <xf numFmtId="182" fontId="48" fillId="0" borderId="0" xfId="11" applyNumberFormat="1" applyFont="1" applyAlignment="1">
      <alignment horizontal="center" vertical="center"/>
    </xf>
    <xf numFmtId="14" fontId="58" fillId="6" borderId="6" xfId="11" applyNumberFormat="1" applyFont="1" applyFill="1" applyBorder="1" applyAlignment="1">
      <alignment horizontal="center" vertical="center"/>
    </xf>
    <xf numFmtId="14" fontId="58" fillId="6" borderId="4" xfId="11" applyNumberFormat="1" applyFont="1" applyFill="1" applyBorder="1" applyAlignment="1">
      <alignment horizontal="center" vertical="center"/>
    </xf>
    <xf numFmtId="0" fontId="57" fillId="5" borderId="32" xfId="11" applyFont="1" applyFill="1" applyBorder="1" applyAlignment="1">
      <alignment horizontal="center" vertical="center"/>
    </xf>
    <xf numFmtId="177" fontId="57" fillId="4" borderId="33" xfId="11" applyNumberFormat="1" applyFont="1" applyFill="1" applyBorder="1" applyAlignment="1">
      <alignment horizontal="center" vertical="center"/>
    </xf>
    <xf numFmtId="0" fontId="48" fillId="0" borderId="0" xfId="11" applyFont="1" applyAlignment="1">
      <alignment vertical="center"/>
    </xf>
    <xf numFmtId="0" fontId="58" fillId="0" borderId="0" xfId="11" applyFont="1" applyAlignment="1">
      <alignment vertical="center"/>
    </xf>
    <xf numFmtId="0" fontId="60" fillId="0" borderId="0" xfId="11" applyFont="1" applyAlignment="1">
      <alignment vertical="center"/>
    </xf>
    <xf numFmtId="0" fontId="11" fillId="0" borderId="0" xfId="11" applyFont="1">
      <alignment vertical="center"/>
    </xf>
    <xf numFmtId="14" fontId="58" fillId="6" borderId="34" xfId="11" applyNumberFormat="1" applyFont="1" applyFill="1" applyBorder="1" applyAlignment="1">
      <alignment horizontal="center" vertical="center"/>
    </xf>
    <xf numFmtId="0" fontId="48" fillId="0" borderId="0" xfId="12" applyFont="1">
      <alignment vertical="center"/>
    </xf>
    <xf numFmtId="0" fontId="48" fillId="0" borderId="0" xfId="7" applyFont="1">
      <alignment vertical="center"/>
    </xf>
    <xf numFmtId="0" fontId="68" fillId="0" borderId="0" xfId="7" applyFont="1">
      <alignment vertical="center"/>
    </xf>
    <xf numFmtId="0" fontId="52" fillId="0" borderId="0" xfId="14" applyFont="1">
      <alignment vertical="center"/>
    </xf>
    <xf numFmtId="0" fontId="47" fillId="6" borderId="6" xfId="7" applyFont="1" applyFill="1" applyBorder="1" applyAlignment="1">
      <alignment horizontal="center" vertical="center" wrapText="1"/>
    </xf>
    <xf numFmtId="0" fontId="47" fillId="6" borderId="35" xfId="7" applyFont="1" applyFill="1" applyBorder="1" applyAlignment="1">
      <alignment horizontal="center" vertical="center" wrapText="1"/>
    </xf>
    <xf numFmtId="0" fontId="47" fillId="5" borderId="3" xfId="7" applyNumberFormat="1" applyFont="1" applyFill="1" applyBorder="1" applyAlignment="1">
      <alignment horizontal="center" vertical="center" wrapText="1"/>
    </xf>
    <xf numFmtId="0" fontId="47" fillId="6" borderId="4" xfId="7" applyFont="1" applyFill="1" applyBorder="1" applyAlignment="1">
      <alignment horizontal="center" vertical="center" wrapText="1"/>
    </xf>
    <xf numFmtId="0" fontId="47" fillId="6" borderId="36" xfId="7" applyFont="1" applyFill="1" applyBorder="1" applyAlignment="1">
      <alignment horizontal="center" vertical="center" wrapText="1"/>
    </xf>
    <xf numFmtId="0" fontId="53" fillId="3" borderId="18" xfId="7" applyFont="1" applyFill="1" applyBorder="1" applyAlignment="1">
      <alignment horizontal="center" vertical="center" wrapText="1"/>
    </xf>
    <xf numFmtId="14" fontId="58" fillId="6" borderId="23" xfId="11" applyNumberFormat="1" applyFont="1" applyFill="1" applyBorder="1" applyAlignment="1">
      <alignment horizontal="center" vertical="center"/>
    </xf>
    <xf numFmtId="182" fontId="48" fillId="0" borderId="0" xfId="0" applyNumberFormat="1" applyFont="1" applyAlignment="1">
      <alignment vertical="center"/>
    </xf>
    <xf numFmtId="182" fontId="57" fillId="0" borderId="0" xfId="0" applyNumberFormat="1" applyFont="1" applyAlignment="1">
      <alignment vertical="center"/>
    </xf>
    <xf numFmtId="0" fontId="48" fillId="0" borderId="0" xfId="0" quotePrefix="1" applyFont="1" applyAlignment="1">
      <alignment vertical="center"/>
    </xf>
    <xf numFmtId="0" fontId="61" fillId="7" borderId="37" xfId="0" applyFont="1" applyFill="1" applyBorder="1" applyAlignment="1">
      <alignment horizontal="center" vertical="center"/>
    </xf>
    <xf numFmtId="2" fontId="58" fillId="4" borderId="6" xfId="11" applyNumberFormat="1" applyFont="1" applyFill="1" applyBorder="1" applyAlignment="1">
      <alignment horizontal="center" vertical="center" wrapText="1"/>
    </xf>
    <xf numFmtId="0" fontId="61" fillId="7" borderId="18" xfId="0" applyFont="1" applyFill="1" applyBorder="1" applyAlignment="1">
      <alignment horizontal="center" vertical="center" wrapText="1"/>
    </xf>
    <xf numFmtId="2" fontId="70" fillId="5" borderId="6" xfId="11" applyNumberFormat="1" applyFont="1" applyFill="1" applyBorder="1" applyAlignment="1">
      <alignment horizontal="center" vertical="center"/>
    </xf>
    <xf numFmtId="9" fontId="58" fillId="6" borderId="6" xfId="1" applyFont="1" applyFill="1" applyBorder="1" applyAlignment="1">
      <alignment horizontal="center" vertical="center" wrapText="1"/>
    </xf>
    <xf numFmtId="41" fontId="48" fillId="0" borderId="0" xfId="3" applyFont="1" applyAlignment="1">
      <alignment vertical="center"/>
    </xf>
    <xf numFmtId="41" fontId="48" fillId="0" borderId="0" xfId="3" applyFont="1" applyAlignment="1">
      <alignment horizontal="center" vertical="center"/>
    </xf>
    <xf numFmtId="14" fontId="58" fillId="4" borderId="38" xfId="0" applyNumberFormat="1" applyFont="1" applyFill="1" applyBorder="1" applyAlignment="1">
      <alignment horizontal="center" vertical="center"/>
    </xf>
    <xf numFmtId="14" fontId="58" fillId="4" borderId="39" xfId="0" applyNumberFormat="1" applyFont="1" applyFill="1" applyBorder="1" applyAlignment="1">
      <alignment horizontal="center" vertical="center"/>
    </xf>
    <xf numFmtId="14" fontId="58" fillId="4" borderId="37" xfId="0" applyNumberFormat="1" applyFont="1" applyFill="1" applyBorder="1" applyAlignment="1">
      <alignment horizontal="center" vertical="center"/>
    </xf>
    <xf numFmtId="179" fontId="57" fillId="13" borderId="18" xfId="0" applyNumberFormat="1" applyFont="1" applyFill="1" applyBorder="1" applyAlignment="1">
      <alignment horizontal="center" vertical="center"/>
    </xf>
    <xf numFmtId="0" fontId="43" fillId="0" borderId="0" xfId="9" applyFont="1" applyAlignment="1">
      <alignment horizontal="left" vertical="center"/>
    </xf>
    <xf numFmtId="0" fontId="87" fillId="0" borderId="0" xfId="0" applyFont="1" applyAlignment="1">
      <alignment vertical="center"/>
    </xf>
    <xf numFmtId="0" fontId="57" fillId="13" borderId="40" xfId="11" applyFont="1" applyFill="1" applyBorder="1" applyAlignment="1">
      <alignment horizontal="center" vertical="center"/>
    </xf>
    <xf numFmtId="0" fontId="57" fillId="13" borderId="41" xfId="11" applyFont="1" applyFill="1" applyBorder="1" applyAlignment="1">
      <alignment horizontal="center" vertical="center"/>
    </xf>
    <xf numFmtId="0" fontId="58" fillId="6" borderId="3" xfId="9" applyFont="1" applyFill="1" applyBorder="1" applyAlignment="1">
      <alignment horizontal="center" vertical="center" shrinkToFit="1"/>
    </xf>
    <xf numFmtId="0" fontId="58" fillId="4" borderId="4" xfId="9" applyNumberFormat="1" applyFont="1" applyFill="1" applyBorder="1" applyAlignment="1">
      <alignment horizontal="center" vertical="center" wrapText="1"/>
    </xf>
    <xf numFmtId="9" fontId="58" fillId="4" borderId="4" xfId="2" applyFont="1" applyFill="1" applyBorder="1" applyAlignment="1">
      <alignment horizontal="center" vertical="center"/>
    </xf>
    <xf numFmtId="184" fontId="58" fillId="6" borderId="4" xfId="9" applyNumberFormat="1" applyFont="1" applyFill="1" applyBorder="1" applyAlignment="1">
      <alignment horizontal="center" vertical="center"/>
    </xf>
    <xf numFmtId="183" fontId="72" fillId="4" borderId="4" xfId="9" applyNumberFormat="1" applyFont="1" applyFill="1" applyBorder="1" applyAlignment="1">
      <alignment horizontal="center" vertical="center"/>
    </xf>
    <xf numFmtId="0" fontId="57" fillId="13" borderId="1" xfId="9" applyFont="1" applyFill="1" applyBorder="1" applyAlignment="1">
      <alignment horizontal="center" vertical="center"/>
    </xf>
    <xf numFmtId="0" fontId="57" fillId="13" borderId="2" xfId="9" applyFont="1" applyFill="1" applyBorder="1" applyAlignment="1">
      <alignment horizontal="center" vertical="center" wrapText="1"/>
    </xf>
    <xf numFmtId="0" fontId="46" fillId="13" borderId="2" xfId="9" applyFont="1" applyFill="1" applyBorder="1" applyAlignment="1">
      <alignment horizontal="center" vertical="center" wrapText="1"/>
    </xf>
    <xf numFmtId="0" fontId="70" fillId="13" borderId="41" xfId="9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wrapText="1"/>
    </xf>
    <xf numFmtId="176" fontId="88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0" fontId="87" fillId="0" borderId="0" xfId="0" applyFont="1" applyAlignment="1">
      <alignment horizontal="center" vertical="center"/>
    </xf>
    <xf numFmtId="0" fontId="90" fillId="0" borderId="0" xfId="0" applyFont="1" applyAlignment="1">
      <alignment vertical="center"/>
    </xf>
    <xf numFmtId="0" fontId="90" fillId="0" borderId="0" xfId="0" applyFont="1" applyAlignment="1">
      <alignment horizontal="center" vertical="center"/>
    </xf>
    <xf numFmtId="0" fontId="93" fillId="0" borderId="0" xfId="0" applyFont="1" applyAlignment="1">
      <alignment vertical="center"/>
    </xf>
    <xf numFmtId="0" fontId="93" fillId="0" borderId="0" xfId="0" applyFont="1" applyBorder="1" applyAlignment="1">
      <alignment vertical="center" wrapText="1"/>
    </xf>
    <xf numFmtId="179" fontId="93" fillId="0" borderId="0" xfId="0" applyNumberFormat="1" applyFont="1" applyBorder="1" applyAlignment="1">
      <alignment vertical="center"/>
    </xf>
    <xf numFmtId="0" fontId="93" fillId="0" borderId="0" xfId="0" applyFont="1" applyAlignment="1">
      <alignment vertical="center" wrapText="1"/>
    </xf>
    <xf numFmtId="0" fontId="94" fillId="14" borderId="6" xfId="0" applyFont="1" applyFill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5" fillId="0" borderId="0" xfId="0" applyFont="1" applyAlignment="1">
      <alignment vertical="center"/>
    </xf>
    <xf numFmtId="176" fontId="96" fillId="15" borderId="39" xfId="0" applyNumberFormat="1" applyFont="1" applyFill="1" applyBorder="1" applyAlignment="1">
      <alignment horizontal="center" vertical="center" wrapText="1"/>
    </xf>
    <xf numFmtId="0" fontId="94" fillId="0" borderId="37" xfId="0" applyFont="1" applyBorder="1" applyAlignment="1">
      <alignment horizontal="justify" vertical="center" wrapText="1"/>
    </xf>
    <xf numFmtId="0" fontId="97" fillId="0" borderId="0" xfId="0" applyFont="1" applyAlignment="1">
      <alignment vertical="center"/>
    </xf>
    <xf numFmtId="0" fontId="97" fillId="0" borderId="0" xfId="0" applyFont="1" applyBorder="1" applyAlignment="1">
      <alignment vertical="center" wrapText="1"/>
    </xf>
    <xf numFmtId="0" fontId="94" fillId="14" borderId="4" xfId="0" applyFont="1" applyFill="1" applyBorder="1" applyAlignment="1">
      <alignment horizontal="center" vertical="center" wrapText="1"/>
    </xf>
    <xf numFmtId="0" fontId="98" fillId="13" borderId="41" xfId="0" applyFont="1" applyFill="1" applyBorder="1" applyAlignment="1">
      <alignment horizontal="center" vertical="center" wrapText="1"/>
    </xf>
    <xf numFmtId="0" fontId="95" fillId="0" borderId="0" xfId="0" applyFont="1" applyAlignment="1">
      <alignment vertical="top"/>
    </xf>
    <xf numFmtId="0" fontId="99" fillId="0" borderId="0" xfId="0" applyFont="1" applyAlignment="1">
      <alignment vertical="center"/>
    </xf>
    <xf numFmtId="0" fontId="88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87" fillId="0" borderId="0" xfId="0" applyFont="1"/>
    <xf numFmtId="0" fontId="10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94" fillId="16" borderId="6" xfId="0" applyFont="1" applyFill="1" applyBorder="1" applyAlignment="1">
      <alignment horizontal="center" vertical="center" wrapText="1"/>
    </xf>
    <xf numFmtId="0" fontId="94" fillId="16" borderId="4" xfId="0" applyFont="1" applyFill="1" applyBorder="1" applyAlignment="1">
      <alignment horizontal="center" vertical="center" wrapText="1"/>
    </xf>
    <xf numFmtId="0" fontId="98" fillId="13" borderId="41" xfId="0" applyFont="1" applyFill="1" applyBorder="1" applyAlignment="1">
      <alignment horizontal="center" vertical="center" wrapText="1"/>
    </xf>
    <xf numFmtId="0" fontId="94" fillId="0" borderId="39" xfId="0" applyFont="1" applyBorder="1" applyAlignment="1">
      <alignment horizontal="center" vertical="center" wrapText="1"/>
    </xf>
    <xf numFmtId="0" fontId="94" fillId="14" borderId="4" xfId="0" applyFont="1" applyFill="1" applyBorder="1" applyAlignment="1">
      <alignment horizontal="center" vertical="center" wrapText="1"/>
    </xf>
    <xf numFmtId="0" fontId="94" fillId="14" borderId="4" xfId="0" applyFont="1" applyFill="1" applyBorder="1" applyAlignment="1">
      <alignment horizontal="center" vertical="center"/>
    </xf>
    <xf numFmtId="0" fontId="94" fillId="14" borderId="6" xfId="0" applyFont="1" applyFill="1" applyBorder="1" applyAlignment="1">
      <alignment horizontal="center" vertical="center"/>
    </xf>
    <xf numFmtId="0" fontId="104" fillId="0" borderId="0" xfId="0" applyFont="1" applyAlignment="1">
      <alignment horizontal="left" vertical="center"/>
    </xf>
    <xf numFmtId="0" fontId="87" fillId="14" borderId="6" xfId="0" applyFont="1" applyFill="1" applyBorder="1" applyAlignment="1">
      <alignment horizontal="center" vertical="center"/>
    </xf>
    <xf numFmtId="0" fontId="87" fillId="16" borderId="6" xfId="0" applyFont="1" applyFill="1" applyBorder="1" applyAlignment="1">
      <alignment horizontal="center" vertical="center"/>
    </xf>
    <xf numFmtId="0" fontId="99" fillId="14" borderId="4" xfId="0" applyFont="1" applyFill="1" applyBorder="1" applyAlignment="1">
      <alignment horizontal="center" vertical="center"/>
    </xf>
    <xf numFmtId="0" fontId="93" fillId="13" borderId="2" xfId="0" applyFont="1" applyFill="1" applyBorder="1" applyAlignment="1">
      <alignment horizontal="center" vertical="center"/>
    </xf>
    <xf numFmtId="0" fontId="86" fillId="13" borderId="2" xfId="0" applyFont="1" applyFill="1" applyBorder="1" applyAlignment="1">
      <alignment horizontal="center" vertical="center" wrapText="1"/>
    </xf>
    <xf numFmtId="0" fontId="102" fillId="7" borderId="18" xfId="0" applyFont="1" applyFill="1" applyBorder="1" applyAlignment="1">
      <alignment horizontal="center" vertical="center" wrapText="1"/>
    </xf>
    <xf numFmtId="0" fontId="97" fillId="0" borderId="42" xfId="0" applyFont="1" applyBorder="1" applyAlignment="1">
      <alignment vertical="center" wrapText="1"/>
    </xf>
    <xf numFmtId="0" fontId="97" fillId="0" borderId="42" xfId="0" applyFont="1" applyBorder="1" applyAlignment="1">
      <alignment vertical="center"/>
    </xf>
    <xf numFmtId="0" fontId="97" fillId="0" borderId="43" xfId="0" applyFont="1" applyBorder="1" applyAlignment="1">
      <alignment horizontal="left" vertical="center"/>
    </xf>
    <xf numFmtId="0" fontId="104" fillId="0" borderId="0" xfId="0" applyFont="1" applyAlignment="1">
      <alignment vertical="center"/>
    </xf>
    <xf numFmtId="0" fontId="9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82" fontId="63" fillId="4" borderId="44" xfId="0" applyNumberFormat="1" applyFont="1" applyFill="1" applyBorder="1" applyAlignment="1">
      <alignment horizontal="center" vertical="center" wrapText="1"/>
    </xf>
    <xf numFmtId="182" fontId="63" fillId="4" borderId="45" xfId="0" applyNumberFormat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182" fontId="63" fillId="4" borderId="46" xfId="0" applyNumberFormat="1" applyFont="1" applyFill="1" applyBorder="1" applyAlignment="1">
      <alignment horizontal="center" vertical="center" wrapText="1"/>
    </xf>
    <xf numFmtId="178" fontId="26" fillId="0" borderId="0" xfId="0" applyNumberFormat="1" applyFont="1" applyAlignment="1">
      <alignment vertical="center"/>
    </xf>
    <xf numFmtId="182" fontId="63" fillId="4" borderId="47" xfId="0" applyNumberFormat="1" applyFont="1" applyFill="1" applyBorder="1" applyAlignment="1">
      <alignment horizontal="center" vertical="center" wrapText="1"/>
    </xf>
    <xf numFmtId="182" fontId="63" fillId="4" borderId="13" xfId="0" applyNumberFormat="1" applyFont="1" applyFill="1" applyBorder="1" applyAlignment="1">
      <alignment horizontal="center" vertical="center" wrapText="1"/>
    </xf>
    <xf numFmtId="181" fontId="63" fillId="4" borderId="46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50" xfId="0" applyFont="1" applyBorder="1" applyAlignment="1">
      <alignment vertical="center" wrapText="1"/>
    </xf>
    <xf numFmtId="0" fontId="25" fillId="0" borderId="51" xfId="0" applyFont="1" applyBorder="1" applyAlignment="1">
      <alignment horizontal="center" vertical="center" wrapText="1"/>
    </xf>
    <xf numFmtId="194" fontId="26" fillId="16" borderId="45" xfId="0" applyNumberFormat="1" applyFont="1" applyFill="1" applyBorder="1" applyAlignment="1">
      <alignment horizontal="center" vertical="center" wrapText="1"/>
    </xf>
    <xf numFmtId="194" fontId="25" fillId="16" borderId="14" xfId="0" applyNumberFormat="1" applyFont="1" applyFill="1" applyBorder="1" applyAlignment="1">
      <alignment horizontal="center" vertical="center" wrapText="1"/>
    </xf>
    <xf numFmtId="178" fontId="26" fillId="16" borderId="45" xfId="0" applyNumberFormat="1" applyFont="1" applyFill="1" applyBorder="1" applyAlignment="1">
      <alignment horizontal="center" vertical="center" wrapText="1"/>
    </xf>
    <xf numFmtId="182" fontId="63" fillId="17" borderId="46" xfId="0" applyNumberFormat="1" applyFont="1" applyFill="1" applyBorder="1" applyAlignment="1">
      <alignment horizontal="center" vertical="center" wrapText="1"/>
    </xf>
    <xf numFmtId="194" fontId="26" fillId="16" borderId="21" xfId="0" applyNumberFormat="1" applyFont="1" applyFill="1" applyBorder="1" applyAlignment="1">
      <alignment horizontal="center" vertical="center" wrapText="1"/>
    </xf>
    <xf numFmtId="49" fontId="68" fillId="0" borderId="0" xfId="7" applyNumberFormat="1" applyFont="1" applyAlignment="1">
      <alignment vertical="center"/>
    </xf>
    <xf numFmtId="0" fontId="68" fillId="0" borderId="0" xfId="7" applyNumberFormat="1" applyFont="1" applyAlignment="1">
      <alignment vertical="center"/>
    </xf>
    <xf numFmtId="49" fontId="31" fillId="0" borderId="0" xfId="0" applyNumberFormat="1" applyFont="1" applyAlignment="1">
      <alignment horizontal="left" vertical="center"/>
    </xf>
    <xf numFmtId="0" fontId="31" fillId="0" borderId="0" xfId="0" applyNumberFormat="1" applyFont="1" applyAlignment="1">
      <alignment horizontal="left" vertical="center"/>
    </xf>
    <xf numFmtId="0" fontId="26" fillId="0" borderId="52" xfId="0" applyFont="1" applyBorder="1" applyAlignment="1">
      <alignment vertical="center"/>
    </xf>
    <xf numFmtId="182" fontId="63" fillId="17" borderId="12" xfId="0" applyNumberFormat="1" applyFont="1" applyFill="1" applyBorder="1" applyAlignment="1">
      <alignment horizontal="center" vertical="center" wrapText="1"/>
    </xf>
    <xf numFmtId="199" fontId="25" fillId="16" borderId="14" xfId="0" applyNumberFormat="1" applyFont="1" applyFill="1" applyBorder="1" applyAlignment="1">
      <alignment horizontal="center" vertical="center" wrapText="1"/>
    </xf>
    <xf numFmtId="0" fontId="25" fillId="16" borderId="45" xfId="0" applyFont="1" applyFill="1" applyBorder="1" applyAlignment="1">
      <alignment horizontal="center" vertical="center" wrapText="1"/>
    </xf>
    <xf numFmtId="195" fontId="25" fillId="16" borderId="45" xfId="0" applyNumberFormat="1" applyFont="1" applyFill="1" applyBorder="1" applyAlignment="1">
      <alignment horizontal="center" vertical="center" wrapText="1"/>
    </xf>
    <xf numFmtId="178" fontId="25" fillId="0" borderId="6" xfId="0" applyNumberFormat="1" applyFont="1" applyBorder="1" applyAlignment="1">
      <alignment horizontal="center" vertical="center" wrapText="1"/>
    </xf>
    <xf numFmtId="0" fontId="25" fillId="16" borderId="53" xfId="0" applyFont="1" applyFill="1" applyBorder="1" applyAlignment="1">
      <alignment horizontal="center" vertical="center" wrapText="1"/>
    </xf>
    <xf numFmtId="176" fontId="105" fillId="16" borderId="39" xfId="0" applyNumberFormat="1" applyFont="1" applyFill="1" applyBorder="1" applyAlignment="1">
      <alignment horizontal="center" vertical="center" wrapText="1"/>
    </xf>
    <xf numFmtId="0" fontId="35" fillId="9" borderId="54" xfId="0" applyFont="1" applyFill="1" applyBorder="1" applyAlignment="1">
      <alignment horizontal="center" vertical="center" wrapText="1"/>
    </xf>
    <xf numFmtId="0" fontId="97" fillId="0" borderId="0" xfId="0" quotePrefix="1" applyFont="1" applyAlignment="1">
      <alignment vertical="center"/>
    </xf>
    <xf numFmtId="0" fontId="94" fillId="14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vertical="center" wrapText="1"/>
    </xf>
    <xf numFmtId="0" fontId="26" fillId="16" borderId="57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6" fillId="0" borderId="0" xfId="8" applyFont="1" applyFill="1" applyBorder="1">
      <alignment vertical="center"/>
    </xf>
    <xf numFmtId="49" fontId="36" fillId="0" borderId="0" xfId="0" applyNumberFormat="1" applyFont="1" applyFill="1" applyAlignment="1">
      <alignment vertical="center"/>
    </xf>
    <xf numFmtId="0" fontId="60" fillId="0" borderId="0" xfId="8" applyFont="1" applyFill="1" applyBorder="1">
      <alignment vertical="center"/>
    </xf>
    <xf numFmtId="0" fontId="45" fillId="0" borderId="0" xfId="12" applyFont="1" applyAlignment="1"/>
    <xf numFmtId="0" fontId="45" fillId="0" borderId="0" xfId="12" applyFont="1">
      <alignment vertical="center"/>
    </xf>
    <xf numFmtId="0" fontId="48" fillId="0" borderId="0" xfId="0" applyFont="1" applyFill="1"/>
    <xf numFmtId="0" fontId="45" fillId="0" borderId="0" xfId="9" applyFont="1">
      <alignment vertical="center"/>
    </xf>
    <xf numFmtId="0" fontId="97" fillId="0" borderId="0" xfId="0" applyFont="1" applyBorder="1" applyAlignment="1">
      <alignment horizontal="center" vertical="center"/>
    </xf>
    <xf numFmtId="0" fontId="97" fillId="0" borderId="0" xfId="0" applyFont="1" applyBorder="1" applyAlignment="1">
      <alignment horizontal="left" vertical="center"/>
    </xf>
    <xf numFmtId="0" fontId="102" fillId="0" borderId="0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horizontal="center" vertical="center" wrapText="1"/>
    </xf>
    <xf numFmtId="0" fontId="45" fillId="0" borderId="0" xfId="0" applyFont="1"/>
    <xf numFmtId="0" fontId="45" fillId="0" borderId="0" xfId="0" applyFont="1" applyAlignment="1"/>
    <xf numFmtId="0" fontId="45" fillId="0" borderId="0" xfId="0" applyFont="1" applyFill="1"/>
    <xf numFmtId="0" fontId="26" fillId="0" borderId="0" xfId="11" applyFont="1" applyAlignment="1">
      <alignment vertical="center"/>
    </xf>
    <xf numFmtId="0" fontId="26" fillId="0" borderId="0" xfId="9" applyFont="1">
      <alignment vertical="center"/>
    </xf>
    <xf numFmtId="0" fontId="26" fillId="0" borderId="0" xfId="9" applyFont="1" applyAlignment="1">
      <alignment vertical="center"/>
    </xf>
    <xf numFmtId="176" fontId="97" fillId="0" borderId="0" xfId="0" applyNumberFormat="1" applyFont="1" applyAlignment="1">
      <alignment vertical="center"/>
    </xf>
    <xf numFmtId="176" fontId="106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87" fillId="0" borderId="0" xfId="0" applyFont="1" applyFill="1" applyAlignment="1">
      <alignment vertical="center"/>
    </xf>
    <xf numFmtId="0" fontId="97" fillId="0" borderId="0" xfId="0" applyFont="1" applyAlignment="1">
      <alignment horizontal="center" vertical="center"/>
    </xf>
    <xf numFmtId="0" fontId="26" fillId="0" borderId="0" xfId="11" applyFont="1">
      <alignment vertical="center"/>
    </xf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26" fillId="6" borderId="6" xfId="8" applyFont="1" applyFill="1" applyBorder="1" applyAlignment="1">
      <alignment horizontal="center" vertical="center" wrapText="1"/>
    </xf>
    <xf numFmtId="0" fontId="29" fillId="0" borderId="6" xfId="4" applyNumberFormat="1" applyFont="1" applyBorder="1" applyAlignment="1">
      <alignment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35" fillId="9" borderId="59" xfId="0" applyFont="1" applyFill="1" applyBorder="1" applyAlignment="1">
      <alignment horizontal="center" vertical="center" wrapText="1"/>
    </xf>
    <xf numFmtId="0" fontId="26" fillId="0" borderId="60" xfId="8" quotePrefix="1" applyFont="1" applyBorder="1" applyAlignment="1">
      <alignment vertical="center"/>
    </xf>
    <xf numFmtId="0" fontId="26" fillId="0" borderId="61" xfId="8" quotePrefix="1" applyFont="1" applyBorder="1" applyAlignment="1">
      <alignment vertical="center"/>
    </xf>
    <xf numFmtId="49" fontId="29" fillId="0" borderId="24" xfId="8" applyNumberFormat="1" applyFont="1" applyBorder="1" applyAlignment="1">
      <alignment horizontal="left" vertical="center" wrapText="1"/>
    </xf>
    <xf numFmtId="49" fontId="26" fillId="0" borderId="62" xfId="8" quotePrefix="1" applyNumberFormat="1" applyFont="1" applyBorder="1" applyAlignment="1">
      <alignment vertical="center"/>
    </xf>
    <xf numFmtId="200" fontId="58" fillId="14" borderId="63" xfId="8" applyNumberFormat="1" applyFont="1" applyFill="1" applyBorder="1" applyAlignment="1">
      <alignment horizontal="center" vertical="center" wrapText="1"/>
    </xf>
    <xf numFmtId="49" fontId="29" fillId="3" borderId="6" xfId="0" applyNumberFormat="1" applyFont="1" applyFill="1" applyBorder="1" applyAlignment="1">
      <alignment horizontal="center" vertical="center" shrinkToFit="1"/>
    </xf>
    <xf numFmtId="49" fontId="29" fillId="3" borderId="6" xfId="0" applyNumberFormat="1" applyFont="1" applyFill="1" applyBorder="1" applyAlignment="1">
      <alignment horizontal="center" vertical="center" wrapText="1" shrinkToFit="1"/>
    </xf>
    <xf numFmtId="49" fontId="26" fillId="6" borderId="6" xfId="0" applyNumberFormat="1" applyFont="1" applyFill="1" applyBorder="1" applyAlignment="1">
      <alignment horizontal="center" vertical="center" shrinkToFit="1"/>
    </xf>
    <xf numFmtId="49" fontId="26" fillId="6" borderId="23" xfId="0" applyNumberFormat="1" applyFont="1" applyFill="1" applyBorder="1" applyAlignment="1">
      <alignment horizontal="center" vertical="center" shrinkToFit="1"/>
    </xf>
    <xf numFmtId="49" fontId="58" fillId="6" borderId="24" xfId="0" applyNumberFormat="1" applyFont="1" applyFill="1" applyBorder="1" applyAlignment="1">
      <alignment horizontal="center" vertical="center" shrinkToFit="1"/>
    </xf>
    <xf numFmtId="49" fontId="108" fillId="3" borderId="64" xfId="0" applyNumberFormat="1" applyFont="1" applyFill="1" applyBorder="1" applyAlignment="1">
      <alignment horizontal="center" vertical="center" wrapText="1" shrinkToFit="1"/>
    </xf>
    <xf numFmtId="49" fontId="26" fillId="6" borderId="65" xfId="0" applyNumberFormat="1" applyFont="1" applyFill="1" applyBorder="1" applyAlignment="1">
      <alignment horizontal="center" vertical="center" shrinkToFit="1"/>
    </xf>
    <xf numFmtId="49" fontId="26" fillId="6" borderId="6" xfId="0" applyNumberFormat="1" applyFont="1" applyFill="1" applyBorder="1" applyAlignment="1">
      <alignment horizontal="center" vertical="center" wrapText="1" shrinkToFit="1"/>
    </xf>
    <xf numFmtId="49" fontId="38" fillId="3" borderId="23" xfId="0" applyNumberFormat="1" applyFont="1" applyFill="1" applyBorder="1" applyAlignment="1">
      <alignment horizontal="center" vertical="center" wrapText="1" shrinkToFit="1"/>
    </xf>
    <xf numFmtId="0" fontId="25" fillId="0" borderId="14" xfId="0" applyFont="1" applyBorder="1" applyAlignment="1">
      <alignment vertical="center" wrapText="1"/>
    </xf>
    <xf numFmtId="198" fontId="25" fillId="0" borderId="45" xfId="0" applyNumberFormat="1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16" borderId="21" xfId="0" applyFont="1" applyFill="1" applyBorder="1" applyAlignment="1">
      <alignment horizontal="center" vertical="center" wrapText="1"/>
    </xf>
    <xf numFmtId="178" fontId="43" fillId="9" borderId="54" xfId="0" applyNumberFormat="1" applyFont="1" applyFill="1" applyBorder="1" applyAlignment="1">
      <alignment horizontal="center" vertical="center" wrapText="1"/>
    </xf>
    <xf numFmtId="0" fontId="25" fillId="16" borderId="58" xfId="0" applyFont="1" applyFill="1" applyBorder="1" applyAlignment="1">
      <alignment horizontal="center" vertical="center" shrinkToFit="1"/>
    </xf>
    <xf numFmtId="182" fontId="63" fillId="18" borderId="12" xfId="0" applyNumberFormat="1" applyFont="1" applyFill="1" applyBorder="1" applyAlignment="1">
      <alignment horizontal="center" vertical="center" wrapText="1"/>
    </xf>
    <xf numFmtId="201" fontId="48" fillId="4" borderId="30" xfId="0" applyNumberFormat="1" applyFont="1" applyFill="1" applyBorder="1" applyAlignment="1">
      <alignment horizontal="center" vertical="center"/>
    </xf>
    <xf numFmtId="202" fontId="48" fillId="4" borderId="30" xfId="3" applyNumberFormat="1" applyFont="1" applyFill="1" applyBorder="1" applyAlignment="1">
      <alignment horizontal="center" vertical="center" wrapText="1"/>
    </xf>
    <xf numFmtId="202" fontId="48" fillId="4" borderId="30" xfId="0" applyNumberFormat="1" applyFont="1" applyFill="1" applyBorder="1" applyAlignment="1">
      <alignment horizontal="center" vertical="center" wrapText="1"/>
    </xf>
    <xf numFmtId="202" fontId="48" fillId="4" borderId="30" xfId="0" applyNumberFormat="1" applyFont="1" applyFill="1" applyBorder="1" applyAlignment="1">
      <alignment horizontal="center" vertical="center"/>
    </xf>
    <xf numFmtId="201" fontId="48" fillId="4" borderId="4" xfId="3" applyNumberFormat="1" applyFont="1" applyFill="1" applyBorder="1" applyAlignment="1">
      <alignment horizontal="center" vertical="center" wrapText="1"/>
    </xf>
    <xf numFmtId="180" fontId="48" fillId="19" borderId="39" xfId="0" applyNumberFormat="1" applyFont="1" applyFill="1" applyBorder="1" applyAlignment="1">
      <alignment horizontal="center" vertical="center"/>
    </xf>
    <xf numFmtId="0" fontId="109" fillId="14" borderId="6" xfId="0" applyFont="1" applyFill="1" applyBorder="1" applyAlignment="1">
      <alignment horizontal="center" vertical="center"/>
    </xf>
    <xf numFmtId="14" fontId="109" fillId="14" borderId="6" xfId="0" applyNumberFormat="1" applyFont="1" applyFill="1" applyBorder="1" applyAlignment="1">
      <alignment horizontal="center" vertical="center"/>
    </xf>
    <xf numFmtId="194" fontId="43" fillId="20" borderId="6" xfId="0" applyNumberFormat="1" applyFont="1" applyFill="1" applyBorder="1" applyAlignment="1">
      <alignment horizontal="center" vertical="center"/>
    </xf>
    <xf numFmtId="179" fontId="48" fillId="0" borderId="0" xfId="0" applyNumberFormat="1" applyFont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center" vertical="center"/>
    </xf>
    <xf numFmtId="180" fontId="48" fillId="0" borderId="0" xfId="0" applyNumberFormat="1" applyFont="1" applyFill="1" applyBorder="1" applyAlignment="1">
      <alignment horizontal="center" vertical="center"/>
    </xf>
    <xf numFmtId="181" fontId="48" fillId="0" borderId="0" xfId="3" applyNumberFormat="1" applyFont="1" applyFill="1" applyBorder="1" applyAlignment="1">
      <alignment horizontal="center" vertical="center"/>
    </xf>
    <xf numFmtId="176" fontId="46" fillId="0" borderId="0" xfId="0" applyNumberFormat="1" applyFont="1" applyFill="1" applyBorder="1" applyAlignment="1">
      <alignment horizontal="center" vertical="center" wrapText="1"/>
    </xf>
    <xf numFmtId="176" fontId="61" fillId="0" borderId="0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vertical="top"/>
    </xf>
    <xf numFmtId="179" fontId="48" fillId="0" borderId="0" xfId="0" applyNumberFormat="1" applyFont="1" applyFill="1" applyBorder="1" applyAlignment="1">
      <alignment horizontal="center" vertical="center"/>
    </xf>
    <xf numFmtId="0" fontId="46" fillId="13" borderId="2" xfId="0" applyFont="1" applyFill="1" applyBorder="1" applyAlignment="1">
      <alignment horizontal="center" vertical="center" wrapText="1"/>
    </xf>
    <xf numFmtId="0" fontId="58" fillId="0" borderId="0" xfId="9" applyFont="1" applyAlignment="1">
      <alignment horizontal="left" vertical="center"/>
    </xf>
    <xf numFmtId="0" fontId="93" fillId="13" borderId="1" xfId="0" applyFont="1" applyFill="1" applyBorder="1" applyAlignment="1">
      <alignment horizontal="center" vertical="center"/>
    </xf>
    <xf numFmtId="49" fontId="70" fillId="0" borderId="0" xfId="0" applyNumberFormat="1" applyFont="1" applyFill="1" applyBorder="1" applyAlignment="1">
      <alignment horizontal="center" vertical="center" wrapText="1"/>
    </xf>
    <xf numFmtId="202" fontId="48" fillId="10" borderId="30" xfId="0" applyNumberFormat="1" applyFont="1" applyFill="1" applyBorder="1" applyAlignment="1">
      <alignment horizontal="center" vertical="center"/>
    </xf>
    <xf numFmtId="190" fontId="48" fillId="10" borderId="4" xfId="0" applyNumberFormat="1" applyFont="1" applyFill="1" applyBorder="1" applyAlignment="1">
      <alignment horizontal="center" vertical="center"/>
    </xf>
    <xf numFmtId="180" fontId="48" fillId="21" borderId="3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3" applyFont="1" applyAlignment="1">
      <alignment vertical="center"/>
    </xf>
    <xf numFmtId="41" fontId="7" fillId="0" borderId="0" xfId="3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41" fontId="7" fillId="0" borderId="0" xfId="3" applyFont="1" applyBorder="1" applyAlignment="1">
      <alignment vertical="center"/>
    </xf>
    <xf numFmtId="41" fontId="7" fillId="0" borderId="0" xfId="3" applyFont="1" applyBorder="1" applyAlignment="1">
      <alignment horizontal="center" vertical="center"/>
    </xf>
    <xf numFmtId="205" fontId="48" fillId="0" borderId="0" xfId="0" applyNumberFormat="1" applyFont="1" applyAlignment="1">
      <alignment vertical="center"/>
    </xf>
    <xf numFmtId="206" fontId="48" fillId="4" borderId="30" xfId="3" applyNumberFormat="1" applyFont="1" applyFill="1" applyBorder="1" applyAlignment="1">
      <alignment horizontal="center" vertical="center" wrapText="1"/>
    </xf>
    <xf numFmtId="206" fontId="48" fillId="4" borderId="30" xfId="0" applyNumberFormat="1" applyFont="1" applyFill="1" applyBorder="1" applyAlignment="1">
      <alignment horizontal="center" vertical="center" wrapText="1"/>
    </xf>
    <xf numFmtId="206" fontId="48" fillId="4" borderId="3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70" fillId="13" borderId="41" xfId="9" applyFont="1" applyFill="1" applyBorder="1" applyAlignment="1">
      <alignment horizontal="center" vertical="top" wrapText="1"/>
    </xf>
    <xf numFmtId="0" fontId="43" fillId="13" borderId="41" xfId="9" applyFont="1" applyFill="1" applyBorder="1" applyAlignment="1">
      <alignment horizontal="center" vertical="top" wrapText="1"/>
    </xf>
    <xf numFmtId="0" fontId="70" fillId="0" borderId="0" xfId="9" applyFont="1" applyBorder="1" applyAlignment="1">
      <alignment horizontal="right" vertical="center"/>
    </xf>
    <xf numFmtId="0" fontId="103" fillId="13" borderId="67" xfId="0" quotePrefix="1" applyFont="1" applyFill="1" applyBorder="1" applyAlignment="1">
      <alignment vertical="center" wrapText="1"/>
    </xf>
    <xf numFmtId="182" fontId="94" fillId="16" borderId="68" xfId="1" applyNumberFormat="1" applyFont="1" applyFill="1" applyBorder="1" applyAlignment="1">
      <alignment horizontal="center" vertical="center" wrapText="1"/>
    </xf>
    <xf numFmtId="0" fontId="70" fillId="0" borderId="0" xfId="9" applyFont="1" applyBorder="1" applyAlignment="1">
      <alignment horizontal="left" vertical="center"/>
    </xf>
    <xf numFmtId="0" fontId="85" fillId="14" borderId="39" xfId="0" applyFont="1" applyFill="1" applyBorder="1" applyAlignment="1">
      <alignment horizontal="center" vertical="center" wrapText="1"/>
    </xf>
    <xf numFmtId="14" fontId="94" fillId="14" borderId="69" xfId="0" applyNumberFormat="1" applyFont="1" applyFill="1" applyBorder="1" applyAlignment="1">
      <alignment horizontal="center" vertical="center" wrapText="1"/>
    </xf>
    <xf numFmtId="14" fontId="90" fillId="0" borderId="0" xfId="0" applyNumberFormat="1" applyFont="1" applyAlignment="1">
      <alignment vertical="center"/>
    </xf>
    <xf numFmtId="0" fontId="94" fillId="16" borderId="70" xfId="0" applyFont="1" applyFill="1" applyBorder="1" applyAlignment="1">
      <alignment horizontal="center" vertical="center" wrapText="1"/>
    </xf>
    <xf numFmtId="0" fontId="98" fillId="13" borderId="72" xfId="0" applyFont="1" applyFill="1" applyBorder="1" applyAlignment="1">
      <alignment horizontal="center" vertical="center" wrapText="1"/>
    </xf>
    <xf numFmtId="0" fontId="98" fillId="13" borderId="73" xfId="0" applyFont="1" applyFill="1" applyBorder="1" applyAlignment="1">
      <alignment horizontal="center" vertical="center" wrapText="1"/>
    </xf>
    <xf numFmtId="0" fontId="98" fillId="13" borderId="74" xfId="0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left" vertical="center"/>
    </xf>
    <xf numFmtId="0" fontId="110" fillId="13" borderId="75" xfId="0" applyFont="1" applyFill="1" applyBorder="1" applyAlignment="1">
      <alignment horizontal="center" vertical="center" wrapText="1"/>
    </xf>
    <xf numFmtId="0" fontId="102" fillId="7" borderId="76" xfId="0" applyFont="1" applyFill="1" applyBorder="1" applyAlignment="1">
      <alignment horizontal="center" vertical="center" wrapText="1"/>
    </xf>
    <xf numFmtId="14" fontId="70" fillId="0" borderId="0" xfId="9" applyNumberFormat="1" applyFont="1" applyBorder="1" applyAlignment="1">
      <alignment horizontal="center" vertical="center" shrinkToFit="1"/>
    </xf>
    <xf numFmtId="0" fontId="94" fillId="14" borderId="45" xfId="0" applyFont="1" applyFill="1" applyBorder="1" applyAlignment="1">
      <alignment horizontal="center" vertical="center" wrapText="1"/>
    </xf>
    <xf numFmtId="0" fontId="94" fillId="14" borderId="15" xfId="0" applyFont="1" applyFill="1" applyBorder="1" applyAlignment="1">
      <alignment horizontal="center" vertical="center" wrapText="1"/>
    </xf>
    <xf numFmtId="0" fontId="98" fillId="13" borderId="54" xfId="0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62" fillId="0" borderId="0" xfId="0" applyNumberFormat="1" applyFont="1" applyFill="1" applyBorder="1" applyAlignment="1">
      <alignment horizontal="left" vertical="center"/>
    </xf>
    <xf numFmtId="0" fontId="109" fillId="14" borderId="39" xfId="0" applyFont="1" applyFill="1" applyBorder="1" applyAlignment="1">
      <alignment horizontal="center" vertical="center"/>
    </xf>
    <xf numFmtId="14" fontId="109" fillId="14" borderId="39" xfId="0" applyNumberFormat="1" applyFont="1" applyFill="1" applyBorder="1" applyAlignment="1">
      <alignment horizontal="center" vertical="center"/>
    </xf>
    <xf numFmtId="179" fontId="109" fillId="16" borderId="6" xfId="0" applyNumberFormat="1" applyFont="1" applyFill="1" applyBorder="1" applyAlignment="1">
      <alignment horizontal="center" vertical="center"/>
    </xf>
    <xf numFmtId="179" fontId="109" fillId="16" borderId="39" xfId="0" applyNumberFormat="1" applyFont="1" applyFill="1" applyBorder="1" applyAlignment="1">
      <alignment horizontal="center" vertical="center"/>
    </xf>
    <xf numFmtId="179" fontId="109" fillId="16" borderId="35" xfId="0" applyNumberFormat="1" applyFont="1" applyFill="1" applyBorder="1" applyAlignment="1">
      <alignment horizontal="center" vertical="center"/>
    </xf>
    <xf numFmtId="179" fontId="109" fillId="16" borderId="37" xfId="0" applyNumberFormat="1" applyFont="1" applyFill="1" applyBorder="1" applyAlignment="1">
      <alignment horizontal="center" vertical="center"/>
    </xf>
    <xf numFmtId="49" fontId="109" fillId="14" borderId="6" xfId="0" applyNumberFormat="1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111" fillId="0" borderId="0" xfId="0" applyFont="1" applyAlignment="1">
      <alignment horizontal="left" vertical="center"/>
    </xf>
    <xf numFmtId="0" fontId="112" fillId="0" borderId="0" xfId="0" applyFont="1" applyAlignment="1">
      <alignment vertical="center"/>
    </xf>
    <xf numFmtId="0" fontId="113" fillId="0" borderId="0" xfId="0" applyFont="1" applyAlignment="1">
      <alignment horizontal="left" vertical="center"/>
    </xf>
    <xf numFmtId="0" fontId="114" fillId="0" borderId="0" xfId="0" applyFont="1" applyAlignment="1">
      <alignment horizontal="left" vertical="top"/>
    </xf>
    <xf numFmtId="0" fontId="113" fillId="0" borderId="0" xfId="0" applyFont="1" applyAlignment="1">
      <alignment vertical="center"/>
    </xf>
    <xf numFmtId="0" fontId="28" fillId="0" borderId="0" xfId="11" applyFont="1">
      <alignment vertical="center"/>
    </xf>
    <xf numFmtId="0" fontId="62" fillId="0" borderId="0" xfId="11" applyFont="1">
      <alignment vertical="center"/>
    </xf>
    <xf numFmtId="0" fontId="62" fillId="0" borderId="0" xfId="0" applyFont="1" applyAlignment="1">
      <alignment vertical="center"/>
    </xf>
    <xf numFmtId="14" fontId="43" fillId="13" borderId="35" xfId="11" applyNumberFormat="1" applyFont="1" applyFill="1" applyBorder="1" applyAlignment="1">
      <alignment horizontal="center" vertical="center"/>
    </xf>
    <xf numFmtId="14" fontId="26" fillId="16" borderId="37" xfId="11" applyNumberFormat="1" applyFont="1" applyFill="1" applyBorder="1" applyAlignment="1">
      <alignment horizontal="center" vertical="center" shrinkToFit="1"/>
    </xf>
    <xf numFmtId="0" fontId="94" fillId="14" borderId="4" xfId="0" applyFont="1" applyFill="1" applyBorder="1" applyAlignment="1">
      <alignment horizontal="center" vertical="center" wrapText="1"/>
    </xf>
    <xf numFmtId="14" fontId="58" fillId="14" borderId="6" xfId="11" applyNumberFormat="1" applyFont="1" applyFill="1" applyBorder="1" applyAlignment="1">
      <alignment horizontal="center" vertical="center"/>
    </xf>
    <xf numFmtId="0" fontId="58" fillId="16" borderId="4" xfId="11" applyFont="1" applyFill="1" applyBorder="1" applyAlignment="1">
      <alignment horizontal="center" vertical="center" wrapText="1"/>
    </xf>
    <xf numFmtId="2" fontId="58" fillId="4" borderId="8" xfId="11" applyNumberFormat="1" applyFont="1" applyFill="1" applyBorder="1" applyAlignment="1">
      <alignment horizontal="center" vertical="center" wrapText="1"/>
    </xf>
    <xf numFmtId="14" fontId="26" fillId="6" borderId="25" xfId="11" applyNumberFormat="1" applyFont="1" applyFill="1" applyBorder="1" applyAlignment="1">
      <alignment horizontal="center" vertical="center"/>
    </xf>
    <xf numFmtId="0" fontId="29" fillId="13" borderId="77" xfId="11" applyFont="1" applyFill="1" applyBorder="1" applyAlignment="1">
      <alignment horizontal="center" vertical="center"/>
    </xf>
    <xf numFmtId="14" fontId="26" fillId="6" borderId="8" xfId="11" applyNumberFormat="1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58" fillId="0" borderId="0" xfId="11" applyFont="1" applyBorder="1" applyAlignment="1">
      <alignment horizontal="center" vertical="center" wrapText="1"/>
    </xf>
    <xf numFmtId="0" fontId="58" fillId="0" borderId="0" xfId="11" applyFont="1" applyBorder="1" applyAlignment="1">
      <alignment horizontal="center" vertical="center"/>
    </xf>
    <xf numFmtId="183" fontId="40" fillId="16" borderId="39" xfId="9" applyNumberFormat="1" applyFont="1" applyFill="1" applyBorder="1" applyAlignment="1">
      <alignment horizontal="center" vertical="center"/>
    </xf>
    <xf numFmtId="0" fontId="28" fillId="0" borderId="0" xfId="9" applyFont="1">
      <alignment vertical="center"/>
    </xf>
    <xf numFmtId="0" fontId="62" fillId="0" borderId="0" xfId="9" applyFont="1">
      <alignment vertical="center"/>
    </xf>
    <xf numFmtId="0" fontId="29" fillId="13" borderId="6" xfId="0" applyFont="1" applyFill="1" applyBorder="1" applyAlignment="1">
      <alignment horizontal="center" vertical="center"/>
    </xf>
    <xf numFmtId="0" fontId="29" fillId="13" borderId="35" xfId="0" applyFont="1" applyFill="1" applyBorder="1" applyAlignment="1">
      <alignment horizontal="center" vertical="center"/>
    </xf>
    <xf numFmtId="0" fontId="62" fillId="0" borderId="0" xfId="9" applyFont="1" applyAlignment="1">
      <alignment horizontal="left" vertical="center"/>
    </xf>
    <xf numFmtId="182" fontId="63" fillId="4" borderId="58" xfId="0" applyNumberFormat="1" applyFont="1" applyFill="1" applyBorder="1" applyAlignment="1">
      <alignment horizontal="center" vertical="center" wrapText="1"/>
    </xf>
    <xf numFmtId="0" fontId="25" fillId="16" borderId="6" xfId="0" applyFont="1" applyFill="1" applyBorder="1" applyAlignment="1">
      <alignment horizontal="center" vertical="center" wrapText="1"/>
    </xf>
    <xf numFmtId="0" fontId="94" fillId="14" borderId="4" xfId="0" applyFont="1" applyFill="1" applyBorder="1" applyAlignment="1">
      <alignment horizontal="center" vertical="center" wrapText="1"/>
    </xf>
    <xf numFmtId="0" fontId="98" fillId="13" borderId="75" xfId="0" applyFont="1" applyFill="1" applyBorder="1" applyAlignment="1">
      <alignment horizontal="center" vertical="center" wrapText="1"/>
    </xf>
    <xf numFmtId="0" fontId="48" fillId="0" borderId="0" xfId="9" applyFont="1" applyBorder="1">
      <alignment vertical="center"/>
    </xf>
    <xf numFmtId="0" fontId="38" fillId="13" borderId="6" xfId="0" applyFont="1" applyFill="1" applyBorder="1" applyAlignment="1">
      <alignment horizontal="center" vertical="center"/>
    </xf>
    <xf numFmtId="14" fontId="78" fillId="4" borderId="39" xfId="0" applyNumberFormat="1" applyFont="1" applyFill="1" applyBorder="1" applyAlignment="1">
      <alignment horizontal="center" vertical="center"/>
    </xf>
    <xf numFmtId="0" fontId="115" fillId="0" borderId="0" xfId="0" applyFont="1" applyAlignment="1">
      <alignment vertical="top"/>
    </xf>
    <xf numFmtId="14" fontId="43" fillId="13" borderId="64" xfId="9" applyNumberFormat="1" applyFont="1" applyFill="1" applyBorder="1" applyAlignment="1">
      <alignment horizontal="center" vertical="center"/>
    </xf>
    <xf numFmtId="14" fontId="26" fillId="16" borderId="66" xfId="9" applyNumberFormat="1" applyFont="1" applyFill="1" applyBorder="1" applyAlignment="1">
      <alignment horizontal="center" vertical="center"/>
    </xf>
    <xf numFmtId="176" fontId="105" fillId="16" borderId="4" xfId="0" applyNumberFormat="1" applyFont="1" applyFill="1" applyBorder="1" applyAlignment="1">
      <alignment horizontal="center" vertical="center" wrapText="1"/>
    </xf>
    <xf numFmtId="14" fontId="94" fillId="14" borderId="4" xfId="0" applyNumberFormat="1" applyFont="1" applyFill="1" applyBorder="1" applyAlignment="1">
      <alignment horizontal="center" vertical="center" wrapText="1"/>
    </xf>
    <xf numFmtId="14" fontId="94" fillId="14" borderId="6" xfId="0" applyNumberFormat="1" applyFont="1" applyFill="1" applyBorder="1" applyAlignment="1">
      <alignment horizontal="center" vertical="center" wrapText="1"/>
    </xf>
    <xf numFmtId="14" fontId="26" fillId="4" borderId="39" xfId="0" applyNumberFormat="1" applyFont="1" applyFill="1" applyBorder="1" applyAlignment="1">
      <alignment horizontal="center" vertical="center" shrinkToFit="1"/>
    </xf>
    <xf numFmtId="14" fontId="26" fillId="4" borderId="37" xfId="0" applyNumberFormat="1" applyFont="1" applyFill="1" applyBorder="1" applyAlignment="1">
      <alignment horizontal="center" vertical="center" shrinkToFit="1"/>
    </xf>
    <xf numFmtId="0" fontId="43" fillId="13" borderId="6" xfId="0" applyFont="1" applyFill="1" applyBorder="1" applyAlignment="1">
      <alignment horizontal="center" vertical="center"/>
    </xf>
    <xf numFmtId="0" fontId="43" fillId="13" borderId="35" xfId="0" applyFont="1" applyFill="1" applyBorder="1" applyAlignment="1">
      <alignment horizontal="center" vertical="center"/>
    </xf>
    <xf numFmtId="0" fontId="115" fillId="0" borderId="0" xfId="0" applyFont="1" applyAlignment="1">
      <alignment vertical="center"/>
    </xf>
    <xf numFmtId="0" fontId="116" fillId="0" borderId="0" xfId="0" applyFont="1" applyAlignment="1">
      <alignment horizontal="left" vertical="center"/>
    </xf>
    <xf numFmtId="0" fontId="105" fillId="16" borderId="68" xfId="0" applyFont="1" applyFill="1" applyBorder="1" applyAlignment="1">
      <alignment horizontal="center" vertical="center" wrapText="1"/>
    </xf>
    <xf numFmtId="0" fontId="102" fillId="7" borderId="78" xfId="0" applyFont="1" applyFill="1" applyBorder="1" applyAlignment="1">
      <alignment horizontal="center" vertical="center" wrapText="1"/>
    </xf>
    <xf numFmtId="0" fontId="97" fillId="0" borderId="0" xfId="0" applyFont="1" applyBorder="1" applyAlignment="1">
      <alignment horizontal="center" vertical="center" wrapText="1"/>
    </xf>
    <xf numFmtId="176" fontId="97" fillId="0" borderId="0" xfId="0" applyNumberFormat="1" applyFont="1" applyBorder="1" applyAlignment="1">
      <alignment horizontal="center" vertical="center"/>
    </xf>
    <xf numFmtId="0" fontId="87" fillId="0" borderId="0" xfId="0" applyFont="1" applyBorder="1" applyAlignment="1">
      <alignment vertical="center"/>
    </xf>
    <xf numFmtId="0" fontId="88" fillId="0" borderId="0" xfId="0" applyFont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99" fillId="0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49" fontId="25" fillId="0" borderId="25" xfId="0" applyNumberFormat="1" applyFont="1" applyFill="1" applyBorder="1" applyAlignment="1">
      <alignment horizontal="center" vertical="center" wrapText="1"/>
    </xf>
    <xf numFmtId="194" fontId="26" fillId="16" borderId="6" xfId="0" applyNumberFormat="1" applyFont="1" applyFill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182" fontId="63" fillId="4" borderId="80" xfId="0" applyNumberFormat="1" applyFont="1" applyFill="1" applyBorder="1" applyAlignment="1">
      <alignment horizontal="center" vertical="center" wrapText="1"/>
    </xf>
    <xf numFmtId="194" fontId="26" fillId="0" borderId="81" xfId="0" applyNumberFormat="1" applyFont="1" applyFill="1" applyBorder="1" applyAlignment="1">
      <alignment horizontal="center" vertical="center" wrapText="1"/>
    </xf>
    <xf numFmtId="182" fontId="63" fillId="4" borderId="15" xfId="0" applyNumberFormat="1" applyFont="1" applyFill="1" applyBorder="1" applyAlignment="1">
      <alignment horizontal="center" vertical="center" wrapText="1"/>
    </xf>
    <xf numFmtId="10" fontId="25" fillId="16" borderId="45" xfId="0" applyNumberFormat="1" applyFont="1" applyFill="1" applyBorder="1" applyAlignment="1">
      <alignment horizontal="center" vertical="center" wrapText="1"/>
    </xf>
    <xf numFmtId="0" fontId="25" fillId="11" borderId="45" xfId="0" applyFont="1" applyFill="1" applyBorder="1" applyAlignment="1">
      <alignment horizontal="center" vertical="center" wrapText="1"/>
    </xf>
    <xf numFmtId="49" fontId="25" fillId="11" borderId="45" xfId="0" applyNumberFormat="1" applyFont="1" applyFill="1" applyBorder="1" applyAlignment="1">
      <alignment horizontal="center" vertical="center" wrapText="1"/>
    </xf>
    <xf numFmtId="0" fontId="25" fillId="11" borderId="80" xfId="0" applyFont="1" applyFill="1" applyBorder="1" applyAlignment="1">
      <alignment horizontal="center" vertical="center" wrapText="1"/>
    </xf>
    <xf numFmtId="0" fontId="24" fillId="5" borderId="4" xfId="7" applyNumberFormat="1" applyFont="1" applyFill="1" applyBorder="1" applyAlignment="1">
      <alignment horizontal="center" vertical="center" wrapText="1"/>
    </xf>
    <xf numFmtId="0" fontId="25" fillId="12" borderId="79" xfId="0" applyFont="1" applyFill="1" applyBorder="1" applyAlignment="1">
      <alignment horizontal="center" vertical="center" wrapText="1"/>
    </xf>
    <xf numFmtId="0" fontId="25" fillId="12" borderId="82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>
      <alignment horizontal="center" vertical="center" shrinkToFit="1"/>
    </xf>
    <xf numFmtId="0" fontId="94" fillId="14" borderId="83" xfId="0" applyFont="1" applyFill="1" applyBorder="1" applyAlignment="1">
      <alignment horizontal="center" vertical="center" wrapText="1"/>
    </xf>
    <xf numFmtId="0" fontId="94" fillId="14" borderId="84" xfId="0" applyFont="1" applyFill="1" applyBorder="1" applyAlignment="1">
      <alignment horizontal="center" vertical="center" wrapText="1"/>
    </xf>
    <xf numFmtId="0" fontId="94" fillId="16" borderId="85" xfId="0" applyFont="1" applyFill="1" applyBorder="1" applyAlignment="1">
      <alignment horizontal="center" vertical="center" wrapText="1"/>
    </xf>
    <xf numFmtId="0" fontId="102" fillId="15" borderId="86" xfId="0" applyFont="1" applyFill="1" applyBorder="1" applyAlignment="1">
      <alignment horizontal="center" vertical="center" wrapText="1"/>
    </xf>
    <xf numFmtId="181" fontId="63" fillId="16" borderId="45" xfId="0" applyNumberFormat="1" applyFont="1" applyFill="1" applyBorder="1" applyAlignment="1">
      <alignment horizontal="center" vertical="center" wrapText="1"/>
    </xf>
    <xf numFmtId="0" fontId="25" fillId="23" borderId="45" xfId="0" applyFont="1" applyFill="1" applyBorder="1" applyAlignment="1">
      <alignment horizontal="center" vertical="center" shrinkToFit="1"/>
    </xf>
    <xf numFmtId="0" fontId="25" fillId="23" borderId="14" xfId="0" applyFont="1" applyFill="1" applyBorder="1" applyAlignment="1">
      <alignment horizontal="center" vertical="center" shrinkToFit="1"/>
    </xf>
    <xf numFmtId="0" fontId="25" fillId="12" borderId="45" xfId="0" applyFont="1" applyFill="1" applyBorder="1" applyAlignment="1">
      <alignment horizontal="center" vertical="center" shrinkToFit="1"/>
    </xf>
    <xf numFmtId="0" fontId="25" fillId="0" borderId="87" xfId="0" applyFont="1" applyBorder="1" applyAlignment="1">
      <alignment vertical="center" wrapText="1"/>
    </xf>
    <xf numFmtId="182" fontId="63" fillId="4" borderId="14" xfId="0" applyNumberFormat="1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35" fillId="24" borderId="45" xfId="0" applyFont="1" applyFill="1" applyBorder="1" applyAlignment="1">
      <alignment horizontal="center" vertical="center" wrapText="1"/>
    </xf>
    <xf numFmtId="0" fontId="35" fillId="17" borderId="45" xfId="0" applyFont="1" applyFill="1" applyBorder="1" applyAlignment="1">
      <alignment horizontal="center" vertical="center" shrinkToFit="1"/>
    </xf>
    <xf numFmtId="0" fontId="35" fillId="17" borderId="45" xfId="0" applyFont="1" applyFill="1" applyBorder="1" applyAlignment="1">
      <alignment horizontal="center" vertical="center" wrapText="1"/>
    </xf>
    <xf numFmtId="0" fontId="35" fillId="25" borderId="45" xfId="0" applyFont="1" applyFill="1" applyBorder="1" applyAlignment="1">
      <alignment horizontal="center" vertical="center" wrapText="1"/>
    </xf>
    <xf numFmtId="0" fontId="35" fillId="18" borderId="45" xfId="0" applyFont="1" applyFill="1" applyBorder="1" applyAlignment="1">
      <alignment horizontal="center" vertical="center" wrapText="1"/>
    </xf>
    <xf numFmtId="182" fontId="63" fillId="26" borderId="46" xfId="0" applyNumberFormat="1" applyFont="1" applyFill="1" applyBorder="1" applyAlignment="1">
      <alignment horizontal="center" vertical="center" wrapText="1"/>
    </xf>
    <xf numFmtId="181" fontId="63" fillId="24" borderId="12" xfId="0" applyNumberFormat="1" applyFont="1" applyFill="1" applyBorder="1" applyAlignment="1">
      <alignment horizontal="center" vertical="center" wrapText="1"/>
    </xf>
    <xf numFmtId="185" fontId="63" fillId="24" borderId="12" xfId="0" applyNumberFormat="1" applyFont="1" applyFill="1" applyBorder="1" applyAlignment="1">
      <alignment horizontal="center" vertical="center" wrapText="1"/>
    </xf>
    <xf numFmtId="0" fontId="35" fillId="26" borderId="45" xfId="0" applyFont="1" applyFill="1" applyBorder="1" applyAlignment="1">
      <alignment horizontal="center" vertical="center" wrapText="1"/>
    </xf>
    <xf numFmtId="0" fontId="35" fillId="24" borderId="89" xfId="0" applyFont="1" applyFill="1" applyBorder="1" applyAlignment="1">
      <alignment vertical="center" wrapText="1"/>
    </xf>
    <xf numFmtId="0" fontId="25" fillId="23" borderId="25" xfId="0" applyFont="1" applyFill="1" applyBorder="1" applyAlignment="1">
      <alignment vertical="center" wrapText="1"/>
    </xf>
    <xf numFmtId="182" fontId="63" fillId="24" borderId="45" xfId="0" applyNumberFormat="1" applyFont="1" applyFill="1" applyBorder="1" applyAlignment="1">
      <alignment horizontal="center" vertical="center" wrapText="1"/>
    </xf>
    <xf numFmtId="49" fontId="109" fillId="14" borderId="6" xfId="0" applyNumberFormat="1" applyFont="1" applyFill="1" applyBorder="1" applyAlignment="1">
      <alignment horizontal="center" vertical="center" shrinkToFit="1"/>
    </xf>
    <xf numFmtId="49" fontId="109" fillId="14" borderId="39" xfId="0" applyNumberFormat="1" applyFont="1" applyFill="1" applyBorder="1" applyAlignment="1">
      <alignment horizontal="center" vertical="center" shrinkToFit="1"/>
    </xf>
    <xf numFmtId="0" fontId="35" fillId="9" borderId="90" xfId="0" applyFont="1" applyFill="1" applyBorder="1" applyAlignment="1">
      <alignment horizontal="center" vertical="center" wrapText="1"/>
    </xf>
    <xf numFmtId="0" fontId="35" fillId="9" borderId="91" xfId="0" applyFont="1" applyFill="1" applyBorder="1" applyAlignment="1">
      <alignment horizontal="center" vertical="center" wrapText="1"/>
    </xf>
    <xf numFmtId="203" fontId="25" fillId="16" borderId="15" xfId="0" applyNumberFormat="1" applyFont="1" applyFill="1" applyBorder="1" applyAlignment="1">
      <alignment horizontal="center" vertical="center" shrinkToFit="1"/>
    </xf>
    <xf numFmtId="49" fontId="58" fillId="0" borderId="0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 applyFill="1" applyBorder="1" applyAlignment="1">
      <alignment horizontal="center" vertical="center" shrinkToFit="1"/>
    </xf>
    <xf numFmtId="49" fontId="58" fillId="0" borderId="0" xfId="0" quotePrefix="1" applyNumberFormat="1" applyFont="1" applyFill="1" applyBorder="1" applyAlignment="1">
      <alignment horizontal="center" vertical="center" shrinkToFit="1"/>
    </xf>
    <xf numFmtId="188" fontId="58" fillId="0" borderId="0" xfId="0" applyNumberFormat="1" applyFont="1" applyFill="1" applyBorder="1" applyAlignment="1">
      <alignment horizontal="center" vertical="center" shrinkToFit="1"/>
    </xf>
    <xf numFmtId="9" fontId="58" fillId="6" borderId="4" xfId="1" applyFont="1" applyFill="1" applyBorder="1" applyAlignment="1">
      <alignment horizontal="center" vertical="center" wrapText="1"/>
    </xf>
    <xf numFmtId="49" fontId="58" fillId="0" borderId="0" xfId="8" applyNumberFormat="1" applyFont="1" applyFill="1" applyBorder="1" applyAlignment="1">
      <alignment vertical="center"/>
    </xf>
    <xf numFmtId="49" fontId="58" fillId="0" borderId="0" xfId="8" applyNumberFormat="1" applyFont="1" applyFill="1" applyBorder="1" applyAlignment="1">
      <alignment vertical="center" wrapText="1"/>
    </xf>
    <xf numFmtId="49" fontId="26" fillId="0" borderId="0" xfId="8" applyNumberFormat="1" applyFont="1" applyFill="1" applyBorder="1" applyAlignment="1">
      <alignment vertical="center" wrapText="1"/>
    </xf>
    <xf numFmtId="0" fontId="26" fillId="14" borderId="6" xfId="8" applyFont="1" applyFill="1" applyBorder="1" applyAlignment="1">
      <alignment horizontal="center" vertical="center"/>
    </xf>
    <xf numFmtId="0" fontId="118" fillId="0" borderId="6" xfId="8" applyFont="1" applyFill="1" applyBorder="1" applyAlignment="1">
      <alignment horizontal="center" vertical="center"/>
    </xf>
    <xf numFmtId="0" fontId="58" fillId="0" borderId="0" xfId="8" applyFont="1" applyBorder="1" applyAlignment="1">
      <alignment horizontal="center" vertical="center"/>
    </xf>
    <xf numFmtId="0" fontId="26" fillId="27" borderId="0" xfId="8" applyFont="1" applyFill="1" applyBorder="1" applyAlignment="1">
      <alignment horizontal="center" vertical="center"/>
    </xf>
    <xf numFmtId="9" fontId="58" fillId="6" borderId="0" xfId="1" applyFont="1" applyFill="1" applyBorder="1" applyAlignment="1">
      <alignment horizontal="center" vertical="center" wrapText="1"/>
    </xf>
    <xf numFmtId="0" fontId="60" fillId="6" borderId="0" xfId="8" applyFont="1" applyFill="1" applyBorder="1" applyAlignment="1">
      <alignment horizontal="center" vertical="center"/>
    </xf>
    <xf numFmtId="9" fontId="58" fillId="6" borderId="0" xfId="1" applyFont="1" applyFill="1" applyBorder="1" applyAlignment="1">
      <alignment vertical="center" wrapText="1"/>
    </xf>
    <xf numFmtId="0" fontId="48" fillId="0" borderId="0" xfId="8" applyFont="1" applyBorder="1" applyAlignment="1">
      <alignment horizontal="center" vertical="center"/>
    </xf>
    <xf numFmtId="49" fontId="48" fillId="0" borderId="0" xfId="8" applyNumberFormat="1" applyFont="1" applyFill="1" applyBorder="1" applyAlignment="1">
      <alignment vertical="center"/>
    </xf>
    <xf numFmtId="0" fontId="58" fillId="0" borderId="0" xfId="8" applyFont="1" applyFill="1" applyBorder="1" applyAlignment="1">
      <alignment horizontal="center" vertical="center"/>
    </xf>
    <xf numFmtId="0" fontId="60" fillId="0" borderId="0" xfId="8" applyFont="1" applyFill="1" applyBorder="1" applyAlignment="1">
      <alignment horizontal="center" vertical="center"/>
    </xf>
    <xf numFmtId="9" fontId="58" fillId="0" borderId="0" xfId="1" applyFont="1" applyFill="1" applyBorder="1" applyAlignment="1">
      <alignment vertical="center" wrapText="1"/>
    </xf>
    <xf numFmtId="0" fontId="48" fillId="0" borderId="0" xfId="8" applyFont="1" applyFill="1" applyBorder="1" applyAlignment="1">
      <alignment horizontal="center" vertical="center"/>
    </xf>
    <xf numFmtId="0" fontId="58" fillId="0" borderId="0" xfId="8" applyFont="1" applyBorder="1" applyAlignment="1">
      <alignment horizontal="left" vertical="center"/>
    </xf>
    <xf numFmtId="0" fontId="26" fillId="0" borderId="0" xfId="8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38" fillId="3" borderId="0" xfId="0" applyNumberFormat="1" applyFont="1" applyFill="1" applyBorder="1" applyAlignment="1">
      <alignment horizontal="center" vertical="center" wrapText="1" shrinkToFit="1"/>
    </xf>
    <xf numFmtId="49" fontId="66" fillId="3" borderId="0" xfId="0" applyNumberFormat="1" applyFont="1" applyFill="1" applyBorder="1" applyAlignment="1">
      <alignment horizontal="center" vertical="center" wrapText="1" shrinkToFit="1"/>
    </xf>
    <xf numFmtId="49" fontId="67" fillId="3" borderId="0" xfId="0" applyNumberFormat="1" applyFont="1" applyFill="1" applyBorder="1" applyAlignment="1">
      <alignment horizontal="center" vertical="top" wrapText="1" shrinkToFit="1"/>
    </xf>
    <xf numFmtId="49" fontId="40" fillId="3" borderId="0" xfId="0" applyNumberFormat="1" applyFont="1" applyFill="1" applyBorder="1" applyAlignment="1">
      <alignment horizontal="center" vertical="center" shrinkToFit="1"/>
    </xf>
    <xf numFmtId="49" fontId="58" fillId="6" borderId="0" xfId="0" applyNumberFormat="1" applyFont="1" applyFill="1" applyBorder="1" applyAlignment="1">
      <alignment horizontal="center" vertical="center" shrinkToFit="1"/>
    </xf>
    <xf numFmtId="49" fontId="58" fillId="6" borderId="0" xfId="0" quotePrefix="1" applyNumberFormat="1" applyFont="1" applyFill="1" applyBorder="1" applyAlignment="1">
      <alignment horizontal="center" vertical="center" shrinkToFit="1"/>
    </xf>
    <xf numFmtId="49" fontId="58" fillId="6" borderId="0" xfId="0" applyNumberFormat="1" applyFont="1" applyFill="1" applyBorder="1" applyAlignment="1">
      <alignment horizontal="center" vertical="center" wrapText="1" shrinkToFit="1"/>
    </xf>
    <xf numFmtId="49" fontId="57" fillId="3" borderId="0" xfId="8" applyNumberFormat="1" applyFont="1" applyFill="1" applyBorder="1" applyAlignment="1">
      <alignment horizontal="center" vertical="center"/>
    </xf>
    <xf numFmtId="49" fontId="48" fillId="0" borderId="0" xfId="8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82" fontId="63" fillId="4" borderId="6" xfId="0" applyNumberFormat="1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center" vertical="center" wrapText="1"/>
    </xf>
    <xf numFmtId="49" fontId="94" fillId="4" borderId="92" xfId="0" applyNumberFormat="1" applyFont="1" applyFill="1" applyBorder="1" applyAlignment="1">
      <alignment horizontal="center" vertical="center" wrapText="1"/>
    </xf>
    <xf numFmtId="0" fontId="120" fillId="0" borderId="0" xfId="0" applyFont="1" applyAlignment="1">
      <alignment horizontal="left" vertical="top"/>
    </xf>
    <xf numFmtId="0" fontId="48" fillId="0" borderId="78" xfId="0" applyFont="1" applyBorder="1"/>
    <xf numFmtId="194" fontId="43" fillId="28" borderId="4" xfId="0" applyNumberFormat="1" applyFont="1" applyFill="1" applyBorder="1" applyAlignment="1">
      <alignment horizontal="center" vertical="center"/>
    </xf>
    <xf numFmtId="0" fontId="29" fillId="22" borderId="41" xfId="0" applyFont="1" applyFill="1" applyBorder="1" applyAlignment="1">
      <alignment horizontal="center" vertical="center"/>
    </xf>
    <xf numFmtId="179" fontId="29" fillId="22" borderId="41" xfId="0" applyNumberFormat="1" applyFont="1" applyFill="1" applyBorder="1" applyAlignment="1">
      <alignment horizontal="center" vertical="center"/>
    </xf>
    <xf numFmtId="49" fontId="121" fillId="14" borderId="45" xfId="0" applyNumberFormat="1" applyFont="1" applyFill="1" applyBorder="1" applyAlignment="1">
      <alignment horizontal="center" vertical="center" wrapText="1" shrinkToFit="1"/>
    </xf>
    <xf numFmtId="14" fontId="118" fillId="14" borderId="4" xfId="0" applyNumberFormat="1" applyFont="1" applyFill="1" applyBorder="1" applyAlignment="1">
      <alignment horizontal="center" vertical="center"/>
    </xf>
    <xf numFmtId="14" fontId="118" fillId="4" borderId="4" xfId="0" applyNumberFormat="1" applyFont="1" applyFill="1" applyBorder="1" applyAlignment="1">
      <alignment horizontal="center" vertical="center"/>
    </xf>
    <xf numFmtId="179" fontId="118" fillId="4" borderId="4" xfId="0" applyNumberFormat="1" applyFont="1" applyFill="1" applyBorder="1" applyAlignment="1">
      <alignment vertical="center"/>
    </xf>
    <xf numFmtId="41" fontId="121" fillId="16" borderId="4" xfId="3" applyNumberFormat="1" applyFont="1" applyFill="1" applyBorder="1" applyAlignment="1">
      <alignment horizontal="left" vertical="center" wrapText="1" indent="1"/>
    </xf>
    <xf numFmtId="49" fontId="121" fillId="6" borderId="6" xfId="0" applyNumberFormat="1" applyFont="1" applyFill="1" applyBorder="1" applyAlignment="1">
      <alignment horizontal="center" vertical="center" shrinkToFit="1"/>
    </xf>
    <xf numFmtId="49" fontId="121" fillId="6" borderId="45" xfId="0" applyNumberFormat="1" applyFont="1" applyFill="1" applyBorder="1" applyAlignment="1">
      <alignment horizontal="center" vertical="center" shrinkToFit="1"/>
    </xf>
    <xf numFmtId="49" fontId="121" fillId="6" borderId="15" xfId="0" applyNumberFormat="1" applyFont="1" applyFill="1" applyBorder="1" applyAlignment="1">
      <alignment horizontal="center" vertical="center" shrinkToFit="1"/>
    </xf>
    <xf numFmtId="14" fontId="118" fillId="6" borderId="93" xfId="0" applyNumberFormat="1" applyFont="1" applyFill="1" applyBorder="1" applyAlignment="1">
      <alignment horizontal="center" vertical="center"/>
    </xf>
    <xf numFmtId="14" fontId="118" fillId="6" borderId="94" xfId="0" applyNumberFormat="1" applyFont="1" applyFill="1" applyBorder="1" applyAlignment="1">
      <alignment horizontal="center" vertical="center" wrapText="1"/>
    </xf>
    <xf numFmtId="14" fontId="118" fillId="14" borderId="6" xfId="0" applyNumberFormat="1" applyFont="1" applyFill="1" applyBorder="1" applyAlignment="1">
      <alignment horizontal="center" vertical="center"/>
    </xf>
    <xf numFmtId="14" fontId="118" fillId="6" borderId="6" xfId="0" applyNumberFormat="1" applyFont="1" applyFill="1" applyBorder="1" applyAlignment="1">
      <alignment horizontal="center" vertical="center" wrapText="1"/>
    </xf>
    <xf numFmtId="14" fontId="118" fillId="6" borderId="95" xfId="0" applyNumberFormat="1" applyFont="1" applyFill="1" applyBorder="1" applyAlignment="1">
      <alignment horizontal="center" vertical="center"/>
    </xf>
    <xf numFmtId="14" fontId="118" fillId="6" borderId="96" xfId="0" applyNumberFormat="1" applyFont="1" applyFill="1" applyBorder="1" applyAlignment="1">
      <alignment horizontal="center" vertical="center" wrapText="1"/>
    </xf>
    <xf numFmtId="14" fontId="118" fillId="6" borderId="97" xfId="0" applyNumberFormat="1" applyFont="1" applyFill="1" applyBorder="1" applyAlignment="1">
      <alignment horizontal="center" vertical="center"/>
    </xf>
    <xf numFmtId="14" fontId="118" fillId="6" borderId="98" xfId="0" applyNumberFormat="1" applyFont="1" applyFill="1" applyBorder="1" applyAlignment="1">
      <alignment horizontal="center" vertical="center" wrapText="1"/>
    </xf>
    <xf numFmtId="14" fontId="118" fillId="6" borderId="45" xfId="0" applyNumberFormat="1" applyFont="1" applyFill="1" applyBorder="1" applyAlignment="1">
      <alignment horizontal="center" vertical="center"/>
    </xf>
    <xf numFmtId="14" fontId="118" fillId="6" borderId="45" xfId="0" applyNumberFormat="1" applyFont="1" applyFill="1" applyBorder="1" applyAlignment="1">
      <alignment horizontal="center" vertical="center" wrapText="1"/>
    </xf>
    <xf numFmtId="14" fontId="118" fillId="6" borderId="99" xfId="0" applyNumberFormat="1" applyFont="1" applyFill="1" applyBorder="1" applyAlignment="1">
      <alignment horizontal="center" vertical="center" wrapText="1"/>
    </xf>
    <xf numFmtId="0" fontId="122" fillId="0" borderId="100" xfId="0" applyFont="1" applyBorder="1"/>
    <xf numFmtId="0" fontId="122" fillId="0" borderId="100" xfId="0" applyFont="1" applyBorder="1" applyAlignment="1">
      <alignment vertical="center" wrapText="1"/>
    </xf>
    <xf numFmtId="0" fontId="122" fillId="0" borderId="0" xfId="0" applyFont="1" applyBorder="1" applyAlignment="1">
      <alignment vertical="center" wrapText="1"/>
    </xf>
    <xf numFmtId="0" fontId="122" fillId="13" borderId="101" xfId="0" applyFont="1" applyFill="1" applyBorder="1" applyAlignment="1">
      <alignment horizontal="center" vertical="center"/>
    </xf>
    <xf numFmtId="0" fontId="122" fillId="13" borderId="41" xfId="0" applyFont="1" applyFill="1" applyBorder="1" applyAlignment="1">
      <alignment horizontal="center" vertical="center"/>
    </xf>
    <xf numFmtId="0" fontId="122" fillId="13" borderId="102" xfId="0" applyFont="1" applyFill="1" applyBorder="1" applyAlignment="1">
      <alignment horizontal="center" vertical="center" shrinkToFit="1"/>
    </xf>
    <xf numFmtId="14" fontId="118" fillId="6" borderId="4" xfId="0" applyNumberFormat="1" applyFont="1" applyFill="1" applyBorder="1" applyAlignment="1">
      <alignment horizontal="center" vertical="center"/>
    </xf>
    <xf numFmtId="14" fontId="118" fillId="6" borderId="4" xfId="0" applyNumberFormat="1" applyFont="1" applyFill="1" applyBorder="1" applyAlignment="1">
      <alignment horizontal="center" vertical="center" wrapText="1"/>
    </xf>
    <xf numFmtId="0" fontId="118" fillId="4" borderId="4" xfId="4" applyNumberFormat="1" applyFont="1" applyFill="1" applyBorder="1" applyAlignment="1">
      <alignment horizontal="center" vertical="center"/>
    </xf>
    <xf numFmtId="14" fontId="118" fillId="6" borderId="103" xfId="0" applyNumberFormat="1" applyFont="1" applyFill="1" applyBorder="1" applyAlignment="1">
      <alignment vertical="center" wrapText="1"/>
    </xf>
    <xf numFmtId="14" fontId="118" fillId="6" borderId="6" xfId="0" applyNumberFormat="1" applyFont="1" applyFill="1" applyBorder="1" applyAlignment="1">
      <alignment horizontal="center" vertical="center"/>
    </xf>
    <xf numFmtId="0" fontId="118" fillId="4" borderId="6" xfId="4" applyNumberFormat="1" applyFont="1" applyFill="1" applyBorder="1" applyAlignment="1">
      <alignment horizontal="center" vertical="center"/>
    </xf>
    <xf numFmtId="14" fontId="123" fillId="6" borderId="24" xfId="0" applyNumberFormat="1" applyFont="1" applyFill="1" applyBorder="1" applyAlignment="1">
      <alignment horizontal="center" vertical="center" wrapText="1"/>
    </xf>
    <xf numFmtId="0" fontId="24" fillId="0" borderId="0" xfId="5" applyFont="1" applyAlignment="1">
      <alignment horizontal="left" vertical="center"/>
    </xf>
    <xf numFmtId="0" fontId="25" fillId="0" borderId="12" xfId="0" applyFont="1" applyBorder="1" applyAlignment="1">
      <alignment vertical="center" wrapText="1"/>
    </xf>
    <xf numFmtId="0" fontId="25" fillId="0" borderId="104" xfId="0" applyFont="1" applyBorder="1" applyAlignment="1">
      <alignment vertical="center" wrapText="1"/>
    </xf>
    <xf numFmtId="0" fontId="124" fillId="0" borderId="0" xfId="0" applyNumberFormat="1" applyFont="1" applyFill="1" applyBorder="1" applyAlignment="1">
      <alignment horizontal="left" vertical="center"/>
    </xf>
    <xf numFmtId="0" fontId="29" fillId="29" borderId="0" xfId="0" applyFont="1" applyFill="1"/>
    <xf numFmtId="0" fontId="60" fillId="29" borderId="0" xfId="0" applyFont="1" applyFill="1"/>
    <xf numFmtId="0" fontId="125" fillId="0" borderId="0" xfId="0" applyFont="1"/>
    <xf numFmtId="0" fontId="126" fillId="0" borderId="0" xfId="0" applyFont="1" applyAlignment="1">
      <alignment vertical="center"/>
    </xf>
    <xf numFmtId="0" fontId="45" fillId="0" borderId="0" xfId="0" applyFont="1" applyAlignment="1">
      <alignment horizontal="left" vertical="top"/>
    </xf>
    <xf numFmtId="0" fontId="57" fillId="0" borderId="24" xfId="8" applyFont="1" applyBorder="1">
      <alignment vertical="center"/>
    </xf>
    <xf numFmtId="0" fontId="26" fillId="0" borderId="6" xfId="4" applyNumberFormat="1" applyFont="1" applyBorder="1" applyAlignment="1">
      <alignment horizontal="center" vertical="center"/>
    </xf>
    <xf numFmtId="0" fontId="26" fillId="0" borderId="6" xfId="8" applyFont="1" applyBorder="1" applyAlignment="1">
      <alignment horizontal="center" vertical="center"/>
    </xf>
    <xf numFmtId="0" fontId="108" fillId="0" borderId="0" xfId="8" applyFont="1" applyBorder="1">
      <alignment vertical="center"/>
    </xf>
    <xf numFmtId="0" fontId="58" fillId="6" borderId="6" xfId="8" applyFont="1" applyFill="1" applyBorder="1" applyAlignment="1">
      <alignment horizontal="center" vertical="center"/>
    </xf>
    <xf numFmtId="49" fontId="109" fillId="14" borderId="6" xfId="0" applyNumberFormat="1" applyFont="1" applyFill="1" applyBorder="1" applyAlignment="1">
      <alignment horizontal="center" vertical="center" shrinkToFit="1"/>
    </xf>
    <xf numFmtId="179" fontId="122" fillId="13" borderId="105" xfId="0" applyNumberFormat="1" applyFont="1" applyFill="1" applyBorder="1" applyAlignment="1">
      <alignment horizontal="center" vertical="center"/>
    </xf>
    <xf numFmtId="0" fontId="38" fillId="13" borderId="106" xfId="0" applyFont="1" applyFill="1" applyBorder="1" applyAlignment="1">
      <alignment horizontal="center" vertical="center"/>
    </xf>
    <xf numFmtId="14" fontId="78" fillId="4" borderId="107" xfId="0" applyNumberFormat="1" applyFont="1" applyFill="1" applyBorder="1" applyAlignment="1">
      <alignment horizontal="center" vertical="center"/>
    </xf>
    <xf numFmtId="0" fontId="25" fillId="16" borderId="45" xfId="0" applyFont="1" applyFill="1" applyBorder="1" applyAlignment="1">
      <alignment horizontal="center" vertical="center" shrinkToFit="1"/>
    </xf>
    <xf numFmtId="0" fontId="94" fillId="0" borderId="108" xfId="0" applyFont="1" applyBorder="1" applyAlignment="1">
      <alignment horizontal="center" vertical="center" wrapText="1"/>
    </xf>
    <xf numFmtId="208" fontId="94" fillId="0" borderId="109" xfId="0" applyNumberFormat="1" applyFont="1" applyBorder="1" applyAlignment="1">
      <alignment horizontal="center" vertical="center" wrapText="1"/>
    </xf>
    <xf numFmtId="0" fontId="97" fillId="0" borderId="0" xfId="8" applyFont="1" applyBorder="1">
      <alignment vertical="center"/>
    </xf>
    <xf numFmtId="0" fontId="45" fillId="0" borderId="0" xfId="0" applyNumberFormat="1" applyFont="1" applyFill="1" applyBorder="1" applyAlignment="1">
      <alignment horizontal="left" vertical="center"/>
    </xf>
    <xf numFmtId="0" fontId="62" fillId="0" borderId="0" xfId="0" applyNumberFormat="1" applyFont="1" applyFill="1" applyBorder="1" applyAlignment="1">
      <alignment horizontal="left"/>
    </xf>
    <xf numFmtId="178" fontId="25" fillId="16" borderId="110" xfId="0" applyNumberFormat="1" applyFont="1" applyFill="1" applyBorder="1" applyAlignment="1">
      <alignment horizontal="center" vertical="center" wrapText="1"/>
    </xf>
    <xf numFmtId="198" fontId="25" fillId="0" borderId="110" xfId="3" applyNumberFormat="1" applyFont="1" applyBorder="1" applyAlignment="1">
      <alignment horizontal="center" vertical="center" wrapText="1"/>
    </xf>
    <xf numFmtId="182" fontId="63" fillId="4" borderId="111" xfId="0" applyNumberFormat="1" applyFont="1" applyFill="1" applyBorder="1" applyAlignment="1">
      <alignment horizontal="center" vertical="center" wrapText="1"/>
    </xf>
    <xf numFmtId="0" fontId="35" fillId="24" borderId="79" xfId="0" applyFont="1" applyFill="1" applyBorder="1" applyAlignment="1">
      <alignment horizontal="center" vertical="center" wrapText="1"/>
    </xf>
    <xf numFmtId="182" fontId="63" fillId="24" borderId="79" xfId="0" applyNumberFormat="1" applyFont="1" applyFill="1" applyBorder="1" applyAlignment="1">
      <alignment horizontal="center" vertical="center" wrapText="1"/>
    </xf>
    <xf numFmtId="0" fontId="25" fillId="16" borderId="15" xfId="0" applyNumberFormat="1" applyFont="1" applyFill="1" applyBorder="1" applyAlignment="1">
      <alignment horizontal="center" vertical="center" wrapText="1"/>
    </xf>
    <xf numFmtId="181" fontId="63" fillId="4" borderId="19" xfId="0" applyNumberFormat="1" applyFont="1" applyFill="1" applyBorder="1" applyAlignment="1">
      <alignment horizontal="center" vertical="center" wrapText="1"/>
    </xf>
    <xf numFmtId="182" fontId="63" fillId="24" borderId="112" xfId="0" applyNumberFormat="1" applyFont="1" applyFill="1" applyBorder="1" applyAlignment="1">
      <alignment horizontal="center" vertical="center" wrapText="1"/>
    </xf>
    <xf numFmtId="0" fontId="60" fillId="29" borderId="113" xfId="0" applyFont="1" applyFill="1" applyBorder="1"/>
    <xf numFmtId="0" fontId="60" fillId="0" borderId="113" xfId="0" applyFont="1" applyBorder="1"/>
    <xf numFmtId="0" fontId="60" fillId="0" borderId="113" xfId="0" applyFont="1" applyBorder="1" applyAlignment="1">
      <alignment horizontal="center"/>
    </xf>
    <xf numFmtId="0" fontId="29" fillId="29" borderId="113" xfId="0" applyFont="1" applyFill="1" applyBorder="1"/>
    <xf numFmtId="2" fontId="60" fillId="0" borderId="113" xfId="0" applyNumberFormat="1" applyFont="1" applyBorder="1"/>
    <xf numFmtId="0" fontId="48" fillId="0" borderId="113" xfId="0" applyFont="1" applyBorder="1" applyAlignment="1">
      <alignment horizontal="center" vertical="center"/>
    </xf>
    <xf numFmtId="0" fontId="57" fillId="0" borderId="113" xfId="0" applyFont="1" applyBorder="1"/>
    <xf numFmtId="179" fontId="57" fillId="0" borderId="113" xfId="0" applyNumberFormat="1" applyFont="1" applyBorder="1" applyAlignment="1">
      <alignment horizontal="right"/>
    </xf>
    <xf numFmtId="179" fontId="57" fillId="0" borderId="113" xfId="0" applyNumberFormat="1" applyFont="1" applyBorder="1" applyAlignment="1">
      <alignment horizontal="left"/>
    </xf>
    <xf numFmtId="41" fontId="121" fillId="6" borderId="4" xfId="3" applyFont="1" applyFill="1" applyBorder="1" applyAlignment="1">
      <alignment horizontal="center" vertical="center" wrapText="1"/>
    </xf>
    <xf numFmtId="9" fontId="121" fillId="6" borderId="4" xfId="3" applyNumberFormat="1" applyFont="1" applyFill="1" applyBorder="1" applyAlignment="1">
      <alignment horizontal="center" vertical="center" wrapText="1"/>
    </xf>
    <xf numFmtId="9" fontId="121" fillId="6" borderId="114" xfId="3" applyNumberFormat="1" applyFont="1" applyFill="1" applyBorder="1" applyAlignment="1">
      <alignment horizontal="center" vertical="center" wrapText="1"/>
    </xf>
    <xf numFmtId="9" fontId="121" fillId="6" borderId="14" xfId="3" applyNumberFormat="1" applyFont="1" applyFill="1" applyBorder="1" applyAlignment="1">
      <alignment horizontal="center" vertical="center" wrapText="1"/>
    </xf>
    <xf numFmtId="9" fontId="121" fillId="6" borderId="45" xfId="3" applyNumberFormat="1" applyFont="1" applyFill="1" applyBorder="1" applyAlignment="1">
      <alignment horizontal="center" vertical="center" wrapText="1"/>
    </xf>
    <xf numFmtId="9" fontId="121" fillId="6" borderId="12" xfId="3" applyNumberFormat="1" applyFont="1" applyFill="1" applyBorder="1" applyAlignment="1">
      <alignment horizontal="center" vertical="center" wrapText="1"/>
    </xf>
    <xf numFmtId="0" fontId="122" fillId="13" borderId="115" xfId="0" applyFont="1" applyFill="1" applyBorder="1" applyAlignment="1">
      <alignment horizontal="center" vertical="center"/>
    </xf>
    <xf numFmtId="41" fontId="10" fillId="0" borderId="0" xfId="3" applyFont="1" applyAlignment="1">
      <alignment vertical="center"/>
    </xf>
    <xf numFmtId="41" fontId="10" fillId="0" borderId="0" xfId="3" applyFont="1" applyAlignment="1">
      <alignment horizontal="right" vertical="center"/>
    </xf>
    <xf numFmtId="41" fontId="121" fillId="6" borderId="6" xfId="3" applyFont="1" applyFill="1" applyBorder="1" applyAlignment="1">
      <alignment vertical="center" wrapText="1"/>
    </xf>
    <xf numFmtId="41" fontId="121" fillId="6" borderId="14" xfId="3" applyFont="1" applyFill="1" applyBorder="1" applyAlignment="1">
      <alignment vertical="center" wrapText="1"/>
    </xf>
    <xf numFmtId="41" fontId="122" fillId="0" borderId="100" xfId="3" applyFont="1" applyBorder="1" applyAlignment="1">
      <alignment vertical="center" wrapText="1"/>
    </xf>
    <xf numFmtId="41" fontId="122" fillId="0" borderId="0" xfId="3" applyFont="1" applyBorder="1" applyAlignment="1">
      <alignment vertical="center" wrapText="1"/>
    </xf>
    <xf numFmtId="41" fontId="118" fillId="6" borderId="4" xfId="3" applyFont="1" applyFill="1" applyBorder="1" applyAlignment="1">
      <alignment horizontal="center" vertical="center"/>
    </xf>
    <xf numFmtId="41" fontId="118" fillId="6" borderId="6" xfId="3" applyFont="1" applyFill="1" applyBorder="1" applyAlignment="1">
      <alignment horizontal="center" vertical="center"/>
    </xf>
    <xf numFmtId="41" fontId="128" fillId="0" borderId="39" xfId="3" applyFont="1" applyBorder="1" applyAlignment="1">
      <alignment horizontal="center" vertical="center"/>
    </xf>
    <xf numFmtId="41" fontId="10" fillId="0" borderId="0" xfId="3" applyFont="1" applyBorder="1" applyAlignment="1">
      <alignment vertical="center" wrapText="1"/>
    </xf>
    <xf numFmtId="9" fontId="121" fillId="16" borderId="4" xfId="3" applyNumberFormat="1" applyFont="1" applyFill="1" applyBorder="1" applyAlignment="1">
      <alignment horizontal="center" vertical="center" wrapText="1"/>
    </xf>
    <xf numFmtId="9" fontId="121" fillId="16" borderId="114" xfId="3" applyNumberFormat="1" applyFont="1" applyFill="1" applyBorder="1" applyAlignment="1">
      <alignment horizontal="center" vertical="center" wrapText="1"/>
    </xf>
    <xf numFmtId="9" fontId="121" fillId="16" borderId="14" xfId="3" applyNumberFormat="1" applyFont="1" applyFill="1" applyBorder="1" applyAlignment="1">
      <alignment horizontal="center" vertical="center" wrapText="1"/>
    </xf>
    <xf numFmtId="9" fontId="121" fillId="16" borderId="116" xfId="3" applyNumberFormat="1" applyFont="1" applyFill="1" applyBorder="1" applyAlignment="1">
      <alignment horizontal="center" vertical="center" wrapText="1"/>
    </xf>
    <xf numFmtId="9" fontId="121" fillId="16" borderId="12" xfId="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1" fillId="6" borderId="97" xfId="3" quotePrefix="1" applyNumberFormat="1" applyFont="1" applyFill="1" applyBorder="1" applyAlignment="1">
      <alignment horizontal="center" vertical="center" wrapText="1"/>
    </xf>
    <xf numFmtId="0" fontId="121" fillId="6" borderId="97" xfId="3" applyNumberFormat="1" applyFont="1" applyFill="1" applyBorder="1" applyAlignment="1">
      <alignment horizontal="center" vertical="center" wrapText="1"/>
    </xf>
    <xf numFmtId="0" fontId="122" fillId="0" borderId="100" xfId="0" applyFont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6" fillId="0" borderId="6" xfId="11" applyFont="1" applyBorder="1" applyAlignment="1">
      <alignment horizontal="center" vertical="center" wrapText="1"/>
    </xf>
    <xf numFmtId="0" fontId="26" fillId="0" borderId="6" xfId="11" applyFont="1" applyBorder="1" applyAlignment="1">
      <alignment horizontal="center" vertical="center"/>
    </xf>
    <xf numFmtId="0" fontId="26" fillId="0" borderId="0" xfId="11" applyFont="1" applyAlignment="1">
      <alignment horizontal="left" vertical="center"/>
    </xf>
    <xf numFmtId="0" fontId="26" fillId="0" borderId="0" xfId="11" applyFont="1" applyAlignment="1">
      <alignment vertical="center" wrapText="1"/>
    </xf>
    <xf numFmtId="0" fontId="45" fillId="0" borderId="0" xfId="11" applyFont="1">
      <alignment vertical="center"/>
    </xf>
    <xf numFmtId="0" fontId="45" fillId="0" borderId="0" xfId="11" applyFont="1" applyAlignment="1">
      <alignment horizontal="center" vertical="center"/>
    </xf>
    <xf numFmtId="0" fontId="45" fillId="0" borderId="0" xfId="11" applyFont="1" applyAlignment="1">
      <alignment horizontal="left" vertical="center"/>
    </xf>
    <xf numFmtId="2" fontId="26" fillId="0" borderId="6" xfId="11" applyNumberFormat="1" applyFont="1" applyBorder="1" applyAlignment="1">
      <alignment horizontal="center" vertical="center" wrapText="1"/>
    </xf>
    <xf numFmtId="2" fontId="26" fillId="0" borderId="6" xfId="11" applyNumberFormat="1" applyFont="1" applyBorder="1" applyAlignment="1">
      <alignment horizontal="center" vertical="center"/>
    </xf>
    <xf numFmtId="177" fontId="26" fillId="0" borderId="6" xfId="11" applyNumberFormat="1" applyFont="1" applyBorder="1" applyAlignment="1">
      <alignment horizontal="center" vertical="center" wrapText="1"/>
    </xf>
    <xf numFmtId="177" fontId="26" fillId="0" borderId="6" xfId="11" applyNumberFormat="1" applyFont="1" applyBorder="1" applyAlignment="1">
      <alignment horizontal="center" vertical="center"/>
    </xf>
    <xf numFmtId="0" fontId="29" fillId="0" borderId="0" xfId="0" quotePrefix="1" applyFont="1" applyAlignment="1">
      <alignment vertical="center"/>
    </xf>
    <xf numFmtId="0" fontId="45" fillId="0" borderId="0" xfId="0" quotePrefix="1" applyFont="1" applyAlignment="1">
      <alignment vertical="center"/>
    </xf>
    <xf numFmtId="0" fontId="43" fillId="0" borderId="0" xfId="9" applyFont="1">
      <alignment vertical="center"/>
    </xf>
    <xf numFmtId="0" fontId="26" fillId="0" borderId="6" xfId="9" applyFont="1" applyBorder="1" applyAlignment="1">
      <alignment horizontal="center" vertical="center"/>
    </xf>
    <xf numFmtId="0" fontId="78" fillId="0" borderId="6" xfId="9" applyFont="1" applyBorder="1" applyAlignment="1">
      <alignment horizontal="center" vertical="center" wrapText="1"/>
    </xf>
    <xf numFmtId="9" fontId="26" fillId="0" borderId="25" xfId="9" applyNumberFormat="1" applyFont="1" applyBorder="1" applyAlignment="1">
      <alignment horizontal="center" vertical="center"/>
    </xf>
    <xf numFmtId="0" fontId="26" fillId="0" borderId="25" xfId="9" applyFont="1" applyBorder="1" applyAlignment="1">
      <alignment horizontal="center" vertical="center"/>
    </xf>
    <xf numFmtId="49" fontId="26" fillId="16" borderId="117" xfId="9" applyNumberFormat="1" applyFont="1" applyFill="1" applyBorder="1" applyAlignment="1">
      <alignment horizontal="center" vertical="center"/>
    </xf>
    <xf numFmtId="41" fontId="58" fillId="6" borderId="32" xfId="3" applyFont="1" applyFill="1" applyBorder="1" applyAlignment="1">
      <alignment vertical="center"/>
    </xf>
    <xf numFmtId="41" fontId="58" fillId="6" borderId="68" xfId="3" applyFont="1" applyFill="1" applyBorder="1" applyAlignment="1">
      <alignment vertical="center"/>
    </xf>
    <xf numFmtId="176" fontId="65" fillId="16" borderId="32" xfId="1" applyNumberFormat="1" applyFont="1" applyFill="1" applyBorder="1" applyAlignment="1">
      <alignment horizontal="center" vertical="center"/>
    </xf>
    <xf numFmtId="14" fontId="70" fillId="0" borderId="113" xfId="9" applyNumberFormat="1" applyFont="1" applyBorder="1" applyAlignment="1">
      <alignment horizontal="center" vertical="center"/>
    </xf>
    <xf numFmtId="14" fontId="78" fillId="16" borderId="118" xfId="9" applyNumberFormat="1" applyFont="1" applyFill="1" applyBorder="1" applyAlignment="1">
      <alignment horizontal="center" vertical="center"/>
    </xf>
    <xf numFmtId="0" fontId="42" fillId="15" borderId="120" xfId="9" applyFont="1" applyFill="1" applyBorder="1" applyAlignment="1">
      <alignment horizontal="center" vertical="center" wrapText="1"/>
    </xf>
    <xf numFmtId="0" fontId="26" fillId="0" borderId="0" xfId="9" applyFont="1" applyBorder="1" applyAlignment="1">
      <alignment horizontal="center" vertical="center"/>
    </xf>
    <xf numFmtId="0" fontId="127" fillId="0" borderId="0" xfId="9" applyFont="1">
      <alignment vertical="center"/>
    </xf>
    <xf numFmtId="0" fontId="43" fillId="13" borderId="41" xfId="9" applyFont="1" applyFill="1" applyBorder="1" applyAlignment="1">
      <alignment horizontal="center" vertical="center" wrapText="1"/>
    </xf>
    <xf numFmtId="0" fontId="26" fillId="16" borderId="6" xfId="8" applyNumberFormat="1" applyFont="1" applyFill="1" applyBorder="1" applyAlignment="1">
      <alignment horizontal="center" vertical="center" wrapText="1"/>
    </xf>
    <xf numFmtId="49" fontId="129" fillId="0" borderId="6" xfId="8" applyNumberFormat="1" applyFont="1" applyBorder="1" applyAlignment="1">
      <alignment vertical="center"/>
    </xf>
    <xf numFmtId="0" fontId="109" fillId="16" borderId="6" xfId="8" applyFont="1" applyFill="1" applyBorder="1" applyAlignment="1">
      <alignment horizontal="center" vertical="center" wrapText="1"/>
    </xf>
    <xf numFmtId="0" fontId="109" fillId="0" borderId="60" xfId="8" quotePrefix="1" applyFont="1" applyBorder="1" applyAlignment="1">
      <alignment vertical="center"/>
    </xf>
    <xf numFmtId="0" fontId="109" fillId="4" borderId="22" xfId="8" applyFont="1" applyFill="1" applyBorder="1" applyAlignment="1">
      <alignment horizontal="center" vertical="center" wrapText="1"/>
    </xf>
    <xf numFmtId="0" fontId="109" fillId="0" borderId="61" xfId="8" quotePrefix="1" applyFont="1" applyBorder="1" applyAlignment="1">
      <alignment vertical="center"/>
    </xf>
    <xf numFmtId="0" fontId="109" fillId="4" borderId="4" xfId="8" applyFont="1" applyFill="1" applyBorder="1" applyAlignment="1">
      <alignment horizontal="center" vertical="center" wrapText="1"/>
    </xf>
    <xf numFmtId="0" fontId="87" fillId="0" borderId="0" xfId="13" applyFont="1">
      <alignment vertical="center"/>
    </xf>
    <xf numFmtId="0" fontId="130" fillId="0" borderId="0" xfId="13" applyFont="1" applyAlignment="1">
      <alignment horizontal="left" vertical="center"/>
    </xf>
    <xf numFmtId="0" fontId="131" fillId="0" borderId="0" xfId="13" applyFont="1">
      <alignment vertical="center"/>
    </xf>
    <xf numFmtId="0" fontId="132" fillId="0" borderId="0" xfId="13" applyFont="1" applyAlignment="1">
      <alignment horizontal="left" vertical="center"/>
    </xf>
    <xf numFmtId="0" fontId="87" fillId="0" borderId="121" xfId="13" applyFont="1" applyBorder="1" applyAlignment="1">
      <alignment horizontal="left" vertical="center" wrapText="1"/>
    </xf>
    <xf numFmtId="0" fontId="87" fillId="30" borderId="122" xfId="13" applyFont="1" applyFill="1" applyBorder="1" applyAlignment="1">
      <alignment horizontal="left" vertical="center" wrapText="1"/>
    </xf>
    <xf numFmtId="0" fontId="87" fillId="0" borderId="30" xfId="13" applyFont="1" applyBorder="1" applyAlignment="1">
      <alignment horizontal="left" vertical="center" wrapText="1"/>
    </xf>
    <xf numFmtId="0" fontId="87" fillId="30" borderId="0" xfId="13" applyFont="1" applyFill="1" applyBorder="1" applyAlignment="1">
      <alignment horizontal="left" vertical="center" wrapText="1"/>
    </xf>
    <xf numFmtId="0" fontId="87" fillId="30" borderId="20" xfId="13" applyFont="1" applyFill="1" applyBorder="1" applyAlignment="1">
      <alignment horizontal="left" vertical="center" wrapText="1"/>
    </xf>
    <xf numFmtId="0" fontId="87" fillId="30" borderId="20" xfId="13" applyFont="1" applyFill="1" applyBorder="1" applyAlignment="1">
      <alignment vertical="center" wrapText="1"/>
    </xf>
    <xf numFmtId="0" fontId="87" fillId="0" borderId="32" xfId="13" applyFont="1" applyBorder="1" applyAlignment="1">
      <alignment horizontal="left" vertical="center" wrapText="1"/>
    </xf>
    <xf numFmtId="0" fontId="87" fillId="30" borderId="113" xfId="13" applyFont="1" applyFill="1" applyBorder="1" applyAlignment="1">
      <alignment horizontal="left" vertical="center" wrapText="1"/>
    </xf>
    <xf numFmtId="0" fontId="87" fillId="30" borderId="33" xfId="13" applyFont="1" applyFill="1" applyBorder="1" applyAlignment="1">
      <alignment vertical="center" wrapText="1"/>
    </xf>
    <xf numFmtId="0" fontId="99" fillId="0" borderId="0" xfId="13" applyFont="1">
      <alignment vertical="center"/>
    </xf>
    <xf numFmtId="0" fontId="130" fillId="0" borderId="0" xfId="13" applyFont="1" applyAlignment="1">
      <alignment horizontal="left" vertical="center"/>
    </xf>
    <xf numFmtId="0" fontId="133" fillId="0" borderId="0" xfId="13" applyFont="1">
      <alignment vertical="center"/>
    </xf>
    <xf numFmtId="0" fontId="134" fillId="0" borderId="0" xfId="13" applyFont="1">
      <alignment vertical="center"/>
    </xf>
    <xf numFmtId="0" fontId="85" fillId="30" borderId="20" xfId="13" applyFont="1" applyFill="1" applyBorder="1" applyAlignment="1">
      <alignment horizontal="left" vertical="center" wrapText="1"/>
    </xf>
    <xf numFmtId="0" fontId="85" fillId="30" borderId="100" xfId="13" applyFont="1" applyFill="1" applyBorder="1" applyAlignment="1">
      <alignment horizontal="left" vertical="center" wrapText="1"/>
    </xf>
    <xf numFmtId="0" fontId="85" fillId="30" borderId="0" xfId="13" applyFont="1" applyFill="1" applyBorder="1" applyAlignment="1">
      <alignment horizontal="left" vertical="center" wrapText="1"/>
    </xf>
    <xf numFmtId="0" fontId="85" fillId="31" borderId="123" xfId="13" applyFont="1" applyFill="1" applyBorder="1" applyAlignment="1">
      <alignment horizontal="left" vertical="center" wrapText="1"/>
    </xf>
    <xf numFmtId="0" fontId="85" fillId="32" borderId="124" xfId="13" applyFont="1" applyFill="1" applyBorder="1" applyAlignment="1">
      <alignment horizontal="left" vertical="center" wrapText="1"/>
    </xf>
    <xf numFmtId="0" fontId="85" fillId="31" borderId="124" xfId="13" applyFont="1" applyFill="1" applyBorder="1" applyAlignment="1">
      <alignment horizontal="left" vertical="center" wrapText="1"/>
    </xf>
    <xf numFmtId="0" fontId="85" fillId="31" borderId="125" xfId="13" applyFont="1" applyFill="1" applyBorder="1" applyAlignment="1">
      <alignment vertical="center" wrapText="1"/>
    </xf>
    <xf numFmtId="0" fontId="130" fillId="32" borderId="0" xfId="13" applyFont="1" applyFill="1" applyAlignment="1">
      <alignment horizontal="left" vertical="center"/>
    </xf>
    <xf numFmtId="0" fontId="130" fillId="31" borderId="0" xfId="13" applyFont="1" applyFill="1" applyAlignment="1">
      <alignment horizontal="left" vertical="center"/>
    </xf>
    <xf numFmtId="49" fontId="58" fillId="0" borderId="0" xfId="0" applyNumberFormat="1" applyFont="1" applyFill="1" applyBorder="1" applyAlignment="1">
      <alignment vertical="center" shrinkToFit="1"/>
    </xf>
    <xf numFmtId="49" fontId="26" fillId="0" borderId="0" xfId="0" applyNumberFormat="1" applyFont="1" applyFill="1" applyBorder="1" applyAlignment="1">
      <alignment horizontal="left" vertical="center"/>
    </xf>
    <xf numFmtId="49" fontId="41" fillId="0" borderId="0" xfId="8" applyNumberFormat="1" applyFont="1" applyBorder="1">
      <alignment vertical="center"/>
    </xf>
    <xf numFmtId="0" fontId="97" fillId="33" borderId="0" xfId="0" applyFont="1" applyFill="1" applyAlignment="1">
      <alignment vertical="center"/>
    </xf>
    <xf numFmtId="49" fontId="109" fillId="14" borderId="6" xfId="0" applyNumberFormat="1" applyFont="1" applyFill="1" applyBorder="1" applyAlignment="1">
      <alignment horizontal="center" vertical="center" shrinkToFit="1"/>
    </xf>
    <xf numFmtId="49" fontId="109" fillId="14" borderId="6" xfId="0" applyNumberFormat="1" applyFont="1" applyFill="1" applyBorder="1" applyAlignment="1">
      <alignment horizontal="center" vertical="center" shrinkToFit="1"/>
    </xf>
    <xf numFmtId="179" fontId="57" fillId="0" borderId="0" xfId="0" applyNumberFormat="1" applyFont="1" applyBorder="1" applyAlignment="1">
      <alignment horizontal="left"/>
    </xf>
    <xf numFmtId="179" fontId="109" fillId="16" borderId="107" xfId="0" applyNumberFormat="1" applyFont="1" applyFill="1" applyBorder="1" applyAlignment="1">
      <alignment horizontal="center" vertical="center"/>
    </xf>
    <xf numFmtId="194" fontId="43" fillId="34" borderId="35" xfId="0" applyNumberFormat="1" applyFont="1" applyFill="1" applyBorder="1" applyAlignment="1">
      <alignment horizontal="center" vertical="center"/>
    </xf>
    <xf numFmtId="194" fontId="43" fillId="35" borderId="126" xfId="0" applyNumberFormat="1" applyFont="1" applyFill="1" applyBorder="1" applyAlignment="1">
      <alignment horizontal="center" vertical="center"/>
    </xf>
    <xf numFmtId="194" fontId="43" fillId="35" borderId="127" xfId="0" applyNumberFormat="1" applyFont="1" applyFill="1" applyBorder="1" applyAlignment="1">
      <alignment horizontal="center" vertical="center"/>
    </xf>
    <xf numFmtId="194" fontId="43" fillId="34" borderId="106" xfId="0" applyNumberFormat="1" applyFont="1" applyFill="1" applyBorder="1" applyAlignment="1">
      <alignment horizontal="center" vertical="center"/>
    </xf>
    <xf numFmtId="181" fontId="135" fillId="24" borderId="12" xfId="0" applyNumberFormat="1" applyFont="1" applyFill="1" applyBorder="1" applyAlignment="1">
      <alignment horizontal="center" vertical="center" wrapText="1"/>
    </xf>
    <xf numFmtId="182" fontId="135" fillId="16" borderId="128" xfId="0" applyNumberFormat="1" applyFont="1" applyFill="1" applyBorder="1" applyAlignment="1">
      <alignment horizontal="center" vertical="center" wrapText="1"/>
    </xf>
    <xf numFmtId="182" fontId="135" fillId="16" borderId="129" xfId="0" applyNumberFormat="1" applyFont="1" applyFill="1" applyBorder="1" applyAlignment="1">
      <alignment horizontal="center" vertical="center" wrapText="1"/>
    </xf>
    <xf numFmtId="182" fontId="135" fillId="16" borderId="44" xfId="0" applyNumberFormat="1" applyFont="1" applyFill="1" applyBorder="1" applyAlignment="1">
      <alignment horizontal="center" vertical="center" wrapText="1"/>
    </xf>
    <xf numFmtId="182" fontId="135" fillId="25" borderId="45" xfId="0" applyNumberFormat="1" applyFont="1" applyFill="1" applyBorder="1" applyAlignment="1">
      <alignment horizontal="center" vertical="center" wrapText="1"/>
    </xf>
    <xf numFmtId="182" fontId="135" fillId="16" borderId="45" xfId="0" applyNumberFormat="1" applyFont="1" applyFill="1" applyBorder="1" applyAlignment="1">
      <alignment horizontal="center" vertical="center" wrapText="1"/>
    </xf>
    <xf numFmtId="182" fontId="135" fillId="16" borderId="79" xfId="0" applyNumberFormat="1" applyFont="1" applyFill="1" applyBorder="1" applyAlignment="1">
      <alignment horizontal="center" vertical="center" wrapText="1"/>
    </xf>
    <xf numFmtId="182" fontId="135" fillId="17" borderId="46" xfId="0" applyNumberFormat="1" applyFont="1" applyFill="1" applyBorder="1" applyAlignment="1">
      <alignment horizontal="center" vertical="center" wrapText="1"/>
    </xf>
    <xf numFmtId="182" fontId="135" fillId="16" borderId="80" xfId="0" applyNumberFormat="1" applyFont="1" applyFill="1" applyBorder="1" applyAlignment="1">
      <alignment horizontal="center" vertical="center" wrapText="1"/>
    </xf>
    <xf numFmtId="182" fontId="135" fillId="24" borderId="79" xfId="0" applyNumberFormat="1" applyFont="1" applyFill="1" applyBorder="1" applyAlignment="1">
      <alignment horizontal="center" vertical="center" wrapText="1"/>
    </xf>
    <xf numFmtId="182" fontId="135" fillId="16" borderId="15" xfId="0" applyNumberFormat="1" applyFont="1" applyFill="1" applyBorder="1" applyAlignment="1">
      <alignment horizontal="center" vertical="center" wrapText="1"/>
    </xf>
    <xf numFmtId="182" fontId="135" fillId="24" borderId="45" xfId="0" applyNumberFormat="1" applyFont="1" applyFill="1" applyBorder="1" applyAlignment="1">
      <alignment horizontal="center" vertical="center" wrapText="1"/>
    </xf>
    <xf numFmtId="182" fontId="135" fillId="17" borderId="12" xfId="0" applyNumberFormat="1" applyFont="1" applyFill="1" applyBorder="1" applyAlignment="1">
      <alignment horizontal="center" vertical="center" wrapText="1"/>
    </xf>
    <xf numFmtId="182" fontId="135" fillId="16" borderId="13" xfId="0" applyNumberFormat="1" applyFont="1" applyFill="1" applyBorder="1" applyAlignment="1">
      <alignment horizontal="center" vertical="center" wrapText="1"/>
    </xf>
    <xf numFmtId="182" fontId="135" fillId="16" borderId="46" xfId="0" applyNumberFormat="1" applyFont="1" applyFill="1" applyBorder="1" applyAlignment="1">
      <alignment horizontal="center" vertical="center" wrapText="1"/>
    </xf>
    <xf numFmtId="182" fontId="135" fillId="18" borderId="12" xfId="0" applyNumberFormat="1" applyFont="1" applyFill="1" applyBorder="1" applyAlignment="1">
      <alignment horizontal="center" vertical="center" wrapText="1"/>
    </xf>
    <xf numFmtId="182" fontId="135" fillId="26" borderId="46" xfId="0" applyNumberFormat="1" applyFont="1" applyFill="1" applyBorder="1" applyAlignment="1">
      <alignment horizontal="center" vertical="center" wrapText="1"/>
    </xf>
    <xf numFmtId="182" fontId="135" fillId="16" borderId="130" xfId="0" applyNumberFormat="1" applyFont="1" applyFill="1" applyBorder="1" applyAlignment="1">
      <alignment horizontal="center" vertical="center" wrapText="1"/>
    </xf>
    <xf numFmtId="182" fontId="135" fillId="24" borderId="128" xfId="0" applyNumberFormat="1" applyFont="1" applyFill="1" applyBorder="1" applyAlignment="1">
      <alignment horizontal="center" vertical="center" wrapText="1"/>
    </xf>
    <xf numFmtId="181" fontId="135" fillId="16" borderId="130" xfId="0" applyNumberFormat="1" applyFont="1" applyFill="1" applyBorder="1" applyAlignment="1">
      <alignment horizontal="center" vertical="center" wrapText="1"/>
    </xf>
    <xf numFmtId="181" fontId="135" fillId="16" borderId="45" xfId="0" applyNumberFormat="1" applyFont="1" applyFill="1" applyBorder="1" applyAlignment="1">
      <alignment horizontal="center" vertical="center" wrapText="1"/>
    </xf>
    <xf numFmtId="182" fontId="63" fillId="4" borderId="14" xfId="0" applyNumberFormat="1" applyFont="1" applyFill="1" applyBorder="1" applyAlignment="1">
      <alignment horizontal="center" vertical="center" wrapText="1"/>
    </xf>
    <xf numFmtId="182" fontId="135" fillId="16" borderId="14" xfId="0" applyNumberFormat="1" applyFont="1" applyFill="1" applyBorder="1" applyAlignment="1">
      <alignment horizontal="center" vertical="center" wrapText="1"/>
    </xf>
    <xf numFmtId="0" fontId="94" fillId="14" borderId="4" xfId="0" applyFont="1" applyFill="1" applyBorder="1" applyAlignment="1">
      <alignment horizontal="center" vertical="center" wrapText="1"/>
    </xf>
    <xf numFmtId="0" fontId="103" fillId="13" borderId="25" xfId="0" applyFont="1" applyFill="1" applyBorder="1" applyAlignment="1">
      <alignment horizontal="center" vertical="center" wrapText="1"/>
    </xf>
    <xf numFmtId="0" fontId="94" fillId="14" borderId="170" xfId="0" applyFont="1" applyFill="1" applyBorder="1" applyAlignment="1">
      <alignment horizontal="center" vertical="center" wrapText="1"/>
    </xf>
    <xf numFmtId="0" fontId="94" fillId="14" borderId="170" xfId="0" applyNumberFormat="1" applyFont="1" applyFill="1" applyBorder="1" applyAlignment="1">
      <alignment horizontal="center" vertical="center" wrapText="1"/>
    </xf>
    <xf numFmtId="49" fontId="58" fillId="0" borderId="0" xfId="8" applyNumberFormat="1" applyFont="1" applyFill="1" applyBorder="1" applyAlignment="1">
      <alignment horizontal="center" vertical="center" wrapText="1"/>
    </xf>
    <xf numFmtId="49" fontId="109" fillId="14" borderId="6" xfId="0" applyNumberFormat="1" applyFont="1" applyFill="1" applyBorder="1" applyAlignment="1">
      <alignment horizontal="center" vertical="center" shrinkToFit="1"/>
    </xf>
    <xf numFmtId="194" fontId="45" fillId="16" borderId="8" xfId="3" applyNumberFormat="1" applyFont="1" applyFill="1" applyBorder="1" applyAlignment="1">
      <alignment horizontal="center" vertical="center"/>
    </xf>
    <xf numFmtId="194" fontId="45" fillId="16" borderId="6" xfId="3" applyNumberFormat="1" applyFont="1" applyFill="1" applyBorder="1" applyAlignment="1">
      <alignment horizontal="center" vertical="center"/>
    </xf>
    <xf numFmtId="194" fontId="45" fillId="19" borderId="138" xfId="3" applyNumberFormat="1" applyFont="1" applyFill="1" applyBorder="1" applyAlignment="1">
      <alignment horizontal="center" vertical="center"/>
    </xf>
    <xf numFmtId="194" fontId="45" fillId="19" borderId="39" xfId="3" applyNumberFormat="1" applyFont="1" applyFill="1" applyBorder="1" applyAlignment="1">
      <alignment horizontal="center" vertical="center"/>
    </xf>
    <xf numFmtId="182" fontId="135" fillId="16" borderId="6" xfId="0" applyNumberFormat="1" applyFont="1" applyFill="1" applyBorder="1" applyAlignment="1">
      <alignment horizontal="center" vertical="center" wrapText="1"/>
    </xf>
    <xf numFmtId="10" fontId="25" fillId="16" borderId="14" xfId="1" applyNumberFormat="1" applyFont="1" applyFill="1" applyBorder="1" applyAlignment="1">
      <alignment horizontal="center" vertical="center" wrapText="1"/>
    </xf>
    <xf numFmtId="0" fontId="142" fillId="0" borderId="0" xfId="0" applyFont="1" applyBorder="1" applyAlignment="1">
      <alignment vertical="center" wrapText="1"/>
    </xf>
    <xf numFmtId="49" fontId="97" fillId="0" borderId="6" xfId="0" applyNumberFormat="1" applyFont="1" applyBorder="1" applyAlignment="1">
      <alignment horizontal="center" vertical="center" wrapText="1"/>
    </xf>
    <xf numFmtId="49" fontId="97" fillId="0" borderId="6" xfId="0" applyNumberFormat="1" applyFont="1" applyBorder="1" applyAlignment="1">
      <alignment horizontal="center" vertical="center"/>
    </xf>
    <xf numFmtId="0" fontId="103" fillId="13" borderId="124" xfId="0" applyFont="1" applyFill="1" applyBorder="1" applyAlignment="1">
      <alignment horizontal="center" vertical="center" wrapText="1"/>
    </xf>
    <xf numFmtId="0" fontId="103" fillId="13" borderId="20" xfId="0" applyFont="1" applyFill="1" applyBorder="1" applyAlignment="1">
      <alignment horizontal="center" vertical="center" wrapText="1"/>
    </xf>
    <xf numFmtId="0" fontId="94" fillId="14" borderId="68" xfId="0" applyFont="1" applyFill="1" applyBorder="1" applyAlignment="1">
      <alignment horizontal="center" vertical="center" wrapText="1"/>
    </xf>
    <xf numFmtId="0" fontId="94" fillId="14" borderId="68" xfId="0" applyNumberFormat="1" applyFont="1" applyFill="1" applyBorder="1" applyAlignment="1">
      <alignment horizontal="center" vertical="center" wrapText="1"/>
    </xf>
    <xf numFmtId="0" fontId="94" fillId="16" borderId="171" xfId="0" applyFont="1" applyFill="1" applyBorder="1" applyAlignment="1">
      <alignment horizontal="center" vertical="center" wrapText="1"/>
    </xf>
    <xf numFmtId="201" fontId="48" fillId="16" borderId="30" xfId="0" applyNumberFormat="1" applyFont="1" applyFill="1" applyBorder="1" applyAlignment="1">
      <alignment horizontal="center" vertical="center"/>
    </xf>
    <xf numFmtId="202" fontId="48" fillId="16" borderId="30" xfId="3" applyNumberFormat="1" applyFont="1" applyFill="1" applyBorder="1" applyAlignment="1">
      <alignment horizontal="center" vertical="center" wrapText="1"/>
    </xf>
    <xf numFmtId="202" fontId="48" fillId="16" borderId="30" xfId="0" applyNumberFormat="1" applyFont="1" applyFill="1" applyBorder="1" applyAlignment="1">
      <alignment horizontal="center" vertical="center" wrapText="1"/>
    </xf>
    <xf numFmtId="202" fontId="48" fillId="36" borderId="30" xfId="0" applyNumberFormat="1" applyFont="1" applyFill="1" applyBorder="1" applyAlignment="1">
      <alignment horizontal="center" vertical="center"/>
    </xf>
    <xf numFmtId="189" fontId="48" fillId="16" borderId="4" xfId="0" applyNumberFormat="1" applyFont="1" applyFill="1" applyBorder="1" applyAlignment="1">
      <alignment horizontal="center" vertical="center"/>
    </xf>
    <xf numFmtId="201" fontId="48" fillId="16" borderId="4" xfId="3" applyNumberFormat="1" applyFont="1" applyFill="1" applyBorder="1" applyAlignment="1">
      <alignment horizontal="center" vertical="center" wrapText="1"/>
    </xf>
    <xf numFmtId="190" fontId="48" fillId="36" borderId="4" xfId="0" applyNumberFormat="1" applyFont="1" applyFill="1" applyBorder="1" applyAlignment="1">
      <alignment horizontal="center" vertical="center"/>
    </xf>
    <xf numFmtId="0" fontId="26" fillId="0" borderId="0" xfId="9" applyFont="1" applyAlignment="1">
      <alignment horizontal="left" vertical="center" wrapText="1"/>
    </xf>
    <xf numFmtId="0" fontId="58" fillId="0" borderId="0" xfId="9" applyFont="1" applyAlignment="1">
      <alignment horizontal="left" vertical="center"/>
    </xf>
    <xf numFmtId="49" fontId="26" fillId="0" borderId="60" xfId="8" quotePrefix="1" applyNumberFormat="1" applyFont="1" applyBorder="1" applyAlignment="1">
      <alignment vertical="center"/>
    </xf>
    <xf numFmtId="49" fontId="26" fillId="0" borderId="21" xfId="8" quotePrefix="1" applyNumberFormat="1" applyFont="1" applyBorder="1" applyAlignment="1">
      <alignment vertical="center"/>
    </xf>
    <xf numFmtId="0" fontId="97" fillId="14" borderId="6" xfId="8" applyFont="1" applyFill="1" applyBorder="1" applyAlignment="1">
      <alignment horizontal="center" vertical="center"/>
    </xf>
    <xf numFmtId="0" fontId="44" fillId="0" borderId="0" xfId="0" applyFont="1" applyBorder="1" applyAlignment="1">
      <alignment horizontal="right" vertical="center"/>
    </xf>
    <xf numFmtId="49" fontId="108" fillId="3" borderId="26" xfId="0" applyNumberFormat="1" applyFont="1" applyFill="1" applyBorder="1" applyAlignment="1">
      <alignment horizontal="center" vertical="center" wrapText="1" shrinkToFit="1"/>
    </xf>
    <xf numFmtId="49" fontId="108" fillId="3" borderId="266" xfId="0" applyNumberFormat="1" applyFont="1" applyFill="1" applyBorder="1" applyAlignment="1">
      <alignment horizontal="center" vertical="center" wrapText="1" shrinkToFit="1"/>
    </xf>
    <xf numFmtId="49" fontId="58" fillId="6" borderId="65" xfId="0" quotePrefix="1" applyNumberFormat="1" applyFont="1" applyFill="1" applyBorder="1" applyAlignment="1">
      <alignment horizontal="center" vertical="center" shrinkToFit="1"/>
    </xf>
    <xf numFmtId="49" fontId="29" fillId="3" borderId="24" xfId="0" applyNumberFormat="1" applyFont="1" applyFill="1" applyBorder="1" applyAlignment="1">
      <alignment horizontal="center" vertical="center" wrapText="1" shrinkToFit="1"/>
    </xf>
    <xf numFmtId="49" fontId="56" fillId="0" borderId="28" xfId="0" applyNumberFormat="1" applyFont="1" applyFill="1" applyBorder="1" applyAlignment="1">
      <alignment vertical="center"/>
    </xf>
    <xf numFmtId="49" fontId="109" fillId="16" borderId="6" xfId="0" applyNumberFormat="1" applyFont="1" applyFill="1" applyBorder="1" applyAlignment="1">
      <alignment horizontal="center" vertical="center"/>
    </xf>
    <xf numFmtId="49" fontId="109" fillId="16" borderId="39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79" fontId="136" fillId="16" borderId="6" xfId="0" applyNumberFormat="1" applyFont="1" applyFill="1" applyBorder="1" applyAlignment="1">
      <alignment horizontal="center" vertical="center" shrinkToFit="1"/>
    </xf>
    <xf numFmtId="179" fontId="136" fillId="16" borderId="6" xfId="0" applyNumberFormat="1" applyFont="1" applyFill="1" applyBorder="1" applyAlignment="1">
      <alignment horizontal="center" vertical="center"/>
    </xf>
    <xf numFmtId="179" fontId="136" fillId="16" borderId="39" xfId="0" applyNumberFormat="1" applyFont="1" applyFill="1" applyBorder="1" applyAlignment="1">
      <alignment horizontal="center" vertical="center"/>
    </xf>
    <xf numFmtId="49" fontId="30" fillId="0" borderId="0" xfId="8" applyNumberFormat="1" applyFont="1" applyBorder="1">
      <alignment vertical="center"/>
    </xf>
    <xf numFmtId="49" fontId="30" fillId="0" borderId="0" xfId="0" applyNumberFormat="1" applyFont="1" applyBorder="1" applyAlignment="1">
      <alignment vertical="center"/>
    </xf>
    <xf numFmtId="0" fontId="45" fillId="0" borderId="0" xfId="9" applyFont="1" applyBorder="1">
      <alignment vertical="center"/>
    </xf>
    <xf numFmtId="0" fontId="29" fillId="13" borderId="2" xfId="9" applyFont="1" applyFill="1" applyBorder="1" applyAlignment="1">
      <alignment horizontal="center" vertical="center" wrapText="1"/>
    </xf>
    <xf numFmtId="0" fontId="42" fillId="5" borderId="0" xfId="9" applyFont="1" applyFill="1" applyBorder="1" applyAlignment="1">
      <alignment horizontal="center" vertical="center"/>
    </xf>
    <xf numFmtId="0" fontId="26" fillId="0" borderId="4" xfId="9" applyNumberFormat="1" applyFont="1" applyBorder="1" applyAlignment="1">
      <alignment horizontal="center" vertical="center"/>
    </xf>
    <xf numFmtId="0" fontId="26" fillId="0" borderId="6" xfId="9" applyNumberFormat="1" applyFont="1" applyBorder="1" applyAlignment="1">
      <alignment horizontal="center" vertical="center"/>
    </xf>
    <xf numFmtId="49" fontId="29" fillId="0" borderId="39" xfId="9" applyNumberFormat="1" applyFont="1" applyBorder="1" applyAlignment="1">
      <alignment horizontal="center" vertical="center"/>
    </xf>
    <xf numFmtId="0" fontId="45" fillId="5" borderId="0" xfId="9" applyFont="1" applyFill="1">
      <alignment vertical="center"/>
    </xf>
    <xf numFmtId="186" fontId="29" fillId="5" borderId="0" xfId="9" applyNumberFormat="1" applyFont="1" applyFill="1" applyBorder="1" applyAlignment="1">
      <alignment horizontal="center" vertical="center"/>
    </xf>
    <xf numFmtId="0" fontId="29" fillId="0" borderId="0" xfId="9" applyFont="1">
      <alignment vertical="center"/>
    </xf>
    <xf numFmtId="186" fontId="43" fillId="0" borderId="0" xfId="9" applyNumberFormat="1" applyFont="1" applyAlignment="1">
      <alignment horizontal="right" vertical="center"/>
    </xf>
    <xf numFmtId="14" fontId="43" fillId="0" borderId="0" xfId="9" applyNumberFormat="1" applyFont="1" applyAlignment="1">
      <alignment horizontal="right" vertical="center"/>
    </xf>
    <xf numFmtId="0" fontId="43" fillId="0" borderId="0" xfId="9" applyFont="1" applyAlignment="1">
      <alignment horizontal="center" vertical="center"/>
    </xf>
    <xf numFmtId="0" fontId="45" fillId="5" borderId="0" xfId="9" applyFont="1" applyFill="1" applyBorder="1" applyAlignment="1">
      <alignment horizontal="center" vertical="center"/>
    </xf>
    <xf numFmtId="0" fontId="29" fillId="13" borderId="41" xfId="9" applyFont="1" applyFill="1" applyBorder="1" applyAlignment="1">
      <alignment horizontal="center" vertical="center" wrapText="1"/>
    </xf>
    <xf numFmtId="0" fontId="29" fillId="13" borderId="41" xfId="9" applyFont="1" applyFill="1" applyBorder="1" applyAlignment="1">
      <alignment horizontal="center" vertical="center"/>
    </xf>
    <xf numFmtId="210" fontId="45" fillId="5" borderId="0" xfId="9" applyNumberFormat="1" applyFont="1" applyFill="1" applyBorder="1">
      <alignment vertical="center"/>
    </xf>
    <xf numFmtId="196" fontId="97" fillId="14" borderId="4" xfId="4" applyNumberFormat="1" applyFont="1" applyFill="1" applyBorder="1" applyAlignment="1">
      <alignment horizontal="center" vertical="center" wrapText="1"/>
    </xf>
    <xf numFmtId="197" fontId="97" fillId="14" borderId="4" xfId="4" applyNumberFormat="1" applyFont="1" applyFill="1" applyBorder="1" applyAlignment="1">
      <alignment horizontal="center" vertical="center" wrapText="1"/>
    </xf>
    <xf numFmtId="182" fontId="45" fillId="0" borderId="0" xfId="9" applyNumberFormat="1" applyFont="1">
      <alignment vertical="center"/>
    </xf>
    <xf numFmtId="0" fontId="26" fillId="5" borderId="0" xfId="9" applyFont="1" applyFill="1" applyAlignment="1">
      <alignment horizontal="left" vertical="center"/>
    </xf>
    <xf numFmtId="196" fontId="97" fillId="14" borderId="39" xfId="4" applyNumberFormat="1" applyFont="1" applyFill="1" applyBorder="1" applyAlignment="1">
      <alignment horizontal="center" vertical="center" wrapText="1"/>
    </xf>
    <xf numFmtId="197" fontId="97" fillId="14" borderId="39" xfId="4" applyNumberFormat="1" applyFont="1" applyFill="1" applyBorder="1" applyAlignment="1">
      <alignment horizontal="center" vertical="center" wrapText="1"/>
    </xf>
    <xf numFmtId="0" fontId="57" fillId="3" borderId="6" xfId="8" applyFont="1" applyFill="1" applyBorder="1" applyAlignment="1">
      <alignment horizontal="center" vertical="center"/>
    </xf>
    <xf numFmtId="49" fontId="58" fillId="6" borderId="6" xfId="8" applyNumberFormat="1" applyFont="1" applyFill="1" applyBorder="1" applyAlignment="1">
      <alignment horizontal="center" vertical="center" wrapText="1"/>
    </xf>
    <xf numFmtId="0" fontId="53" fillId="3" borderId="2" xfId="7" applyFont="1" applyFill="1" applyBorder="1" applyAlignment="1">
      <alignment horizontal="center" vertical="center" wrapText="1"/>
    </xf>
    <xf numFmtId="0" fontId="130" fillId="0" borderId="0" xfId="13" applyFont="1" applyAlignment="1">
      <alignment horizontal="left" vertical="center"/>
    </xf>
    <xf numFmtId="0" fontId="58" fillId="0" borderId="0" xfId="9" applyFont="1" applyAlignment="1">
      <alignment vertical="center"/>
    </xf>
    <xf numFmtId="14" fontId="43" fillId="30" borderId="0" xfId="9" applyNumberFormat="1" applyFont="1" applyFill="1" applyBorder="1" applyAlignment="1">
      <alignment horizontal="left" vertical="center"/>
    </xf>
    <xf numFmtId="0" fontId="29" fillId="30" borderId="0" xfId="9" applyFont="1" applyFill="1" applyBorder="1" applyAlignment="1">
      <alignment vertical="center"/>
    </xf>
    <xf numFmtId="187" fontId="26" fillId="30" borderId="0" xfId="9" applyNumberFormat="1" applyFont="1" applyFill="1" applyBorder="1" applyAlignment="1">
      <alignment vertical="center"/>
    </xf>
    <xf numFmtId="187" fontId="26" fillId="4" borderId="37" xfId="9" applyNumberFormat="1" applyFont="1" applyFill="1" applyBorder="1" applyAlignment="1">
      <alignment horizontal="center" vertical="center"/>
    </xf>
    <xf numFmtId="187" fontId="26" fillId="4" borderId="36" xfId="9" applyNumberFormat="1" applyFont="1" applyFill="1" applyBorder="1" applyAlignment="1">
      <alignment horizontal="center" vertical="center"/>
    </xf>
    <xf numFmtId="196" fontId="97" fillId="14" borderId="25" xfId="4" applyNumberFormat="1" applyFont="1" applyFill="1" applyBorder="1" applyAlignment="1">
      <alignment horizontal="center" vertical="center" wrapText="1"/>
    </xf>
    <xf numFmtId="197" fontId="97" fillId="14" borderId="25" xfId="4" applyNumberFormat="1" applyFont="1" applyFill="1" applyBorder="1" applyAlignment="1">
      <alignment horizontal="center" vertical="center" wrapText="1"/>
    </xf>
    <xf numFmtId="187" fontId="26" fillId="4" borderId="177" xfId="9" applyNumberFormat="1" applyFont="1" applyFill="1" applyBorder="1" applyAlignment="1">
      <alignment horizontal="center" vertical="center"/>
    </xf>
    <xf numFmtId="196" fontId="97" fillId="14" borderId="187" xfId="4" applyNumberFormat="1" applyFont="1" applyFill="1" applyBorder="1" applyAlignment="1">
      <alignment horizontal="center" vertical="center" wrapText="1"/>
    </xf>
    <xf numFmtId="197" fontId="97" fillId="14" borderId="187" xfId="4" applyNumberFormat="1" applyFont="1" applyFill="1" applyBorder="1" applyAlignment="1">
      <alignment horizontal="center" vertical="center" wrapText="1"/>
    </xf>
    <xf numFmtId="187" fontId="26" fillId="4" borderId="176" xfId="9" applyNumberFormat="1" applyFont="1" applyFill="1" applyBorder="1" applyAlignment="1">
      <alignment horizontal="center" vertical="center"/>
    </xf>
    <xf numFmtId="0" fontId="47" fillId="5" borderId="117" xfId="7" applyNumberFormat="1" applyFont="1" applyFill="1" applyBorder="1" applyAlignment="1">
      <alignment horizontal="center" vertical="center" wrapText="1"/>
    </xf>
    <xf numFmtId="0" fontId="24" fillId="5" borderId="32" xfId="7" applyNumberFormat="1" applyFont="1" applyFill="1" applyBorder="1" applyAlignment="1">
      <alignment horizontal="center" vertical="center" wrapText="1"/>
    </xf>
    <xf numFmtId="0" fontId="24" fillId="6" borderId="39" xfId="7" applyFont="1" applyFill="1" applyBorder="1" applyAlignment="1">
      <alignment horizontal="center" vertical="center" wrapText="1"/>
    </xf>
    <xf numFmtId="0" fontId="47" fillId="6" borderId="39" xfId="7" applyFont="1" applyFill="1" applyBorder="1" applyAlignment="1">
      <alignment horizontal="center" vertical="center" wrapText="1"/>
    </xf>
    <xf numFmtId="0" fontId="47" fillId="6" borderId="39" xfId="7" applyFont="1" applyFill="1" applyBorder="1" applyAlignment="1">
      <alignment horizontal="center" vertical="center" wrapText="1" shrinkToFit="1"/>
    </xf>
    <xf numFmtId="0" fontId="47" fillId="6" borderId="37" xfId="7" applyFont="1" applyFill="1" applyBorder="1" applyAlignment="1">
      <alignment horizontal="center" vertical="center" wrapText="1"/>
    </xf>
    <xf numFmtId="49" fontId="24" fillId="6" borderId="4" xfId="7" applyNumberFormat="1" applyFont="1" applyFill="1" applyBorder="1" applyAlignment="1">
      <alignment horizontal="center" vertical="center" wrapText="1"/>
    </xf>
    <xf numFmtId="0" fontId="43" fillId="13" borderId="176" xfId="11" applyFont="1" applyFill="1" applyBorder="1" applyAlignment="1">
      <alignment horizontal="center" vertical="center" shrinkToFit="1"/>
    </xf>
    <xf numFmtId="0" fontId="130" fillId="0" borderId="0" xfId="13" applyFont="1" applyAlignment="1">
      <alignment vertical="center"/>
    </xf>
    <xf numFmtId="0" fontId="144" fillId="0" borderId="0" xfId="13" applyFont="1" applyAlignment="1">
      <alignment vertical="center"/>
    </xf>
    <xf numFmtId="0" fontId="121" fillId="16" borderId="4" xfId="3" applyNumberFormat="1" applyFont="1" applyFill="1" applyBorder="1" applyAlignment="1">
      <alignment horizontal="center" vertical="center" wrapText="1"/>
    </xf>
    <xf numFmtId="0" fontId="60" fillId="0" borderId="0" xfId="11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182" fontId="64" fillId="7" borderId="78" xfId="0" applyNumberFormat="1" applyFont="1" applyFill="1" applyBorder="1" applyAlignment="1">
      <alignment horizontal="center" vertical="center"/>
    </xf>
    <xf numFmtId="0" fontId="26" fillId="0" borderId="0" xfId="11" applyFont="1" applyAlignment="1">
      <alignment horizontal="center" vertical="center"/>
    </xf>
    <xf numFmtId="184" fontId="96" fillId="7" borderId="8" xfId="0" applyNumberFormat="1" applyFont="1" applyFill="1" applyBorder="1" applyAlignment="1">
      <alignment horizontal="center" vertical="center" wrapText="1"/>
    </xf>
    <xf numFmtId="0" fontId="150" fillId="15" borderId="71" xfId="0" applyFont="1" applyFill="1" applyBorder="1" applyAlignment="1">
      <alignment horizontal="center" vertical="center"/>
    </xf>
    <xf numFmtId="49" fontId="109" fillId="14" borderId="6" xfId="0" applyNumberFormat="1" applyFont="1" applyFill="1" applyBorder="1" applyAlignment="1">
      <alignment horizontal="center" vertical="center" shrinkToFit="1"/>
    </xf>
    <xf numFmtId="211" fontId="58" fillId="0" borderId="21" xfId="3" applyNumberFormat="1" applyFont="1" applyBorder="1" applyAlignment="1">
      <alignment horizontal="center" vertical="center"/>
    </xf>
    <xf numFmtId="211" fontId="58" fillId="0" borderId="22" xfId="3" applyNumberFormat="1" applyFont="1" applyBorder="1" applyAlignment="1">
      <alignment horizontal="center" vertical="center"/>
    </xf>
    <xf numFmtId="211" fontId="58" fillId="0" borderId="6" xfId="8" applyNumberFormat="1" applyFont="1" applyBorder="1" applyAlignment="1">
      <alignment horizontal="center" vertical="center"/>
    </xf>
    <xf numFmtId="49" fontId="26" fillId="6" borderId="24" xfId="0" quotePrefix="1" applyNumberFormat="1" applyFont="1" applyFill="1" applyBorder="1" applyAlignment="1">
      <alignment horizontal="center" vertical="center" shrinkToFit="1"/>
    </xf>
    <xf numFmtId="0" fontId="45" fillId="16" borderId="133" xfId="0" applyNumberFormat="1" applyFont="1" applyFill="1" applyBorder="1" applyAlignment="1">
      <alignment horizontal="center" vertical="center"/>
    </xf>
    <xf numFmtId="0" fontId="45" fillId="16" borderId="23" xfId="3" applyNumberFormat="1" applyFont="1" applyFill="1" applyBorder="1" applyAlignment="1">
      <alignment horizontal="center" vertical="center"/>
    </xf>
    <xf numFmtId="0" fontId="24" fillId="6" borderId="6" xfId="7" applyFont="1" applyFill="1" applyBorder="1" applyAlignment="1">
      <alignment horizontal="center" vertical="center" wrapText="1"/>
    </xf>
    <xf numFmtId="0" fontId="24" fillId="6" borderId="35" xfId="7" applyFont="1" applyFill="1" applyBorder="1" applyAlignment="1">
      <alignment horizontal="center" vertical="center" wrapText="1"/>
    </xf>
    <xf numFmtId="0" fontId="24" fillId="6" borderId="6" xfId="7" applyFont="1" applyFill="1" applyBorder="1" applyAlignment="1">
      <alignment horizontal="center" vertical="center" wrapText="1" shrinkToFit="1"/>
    </xf>
    <xf numFmtId="0" fontId="29" fillId="0" borderId="6" xfId="8" applyFont="1" applyBorder="1">
      <alignment vertical="center"/>
    </xf>
    <xf numFmtId="0" fontId="26" fillId="6" borderId="6" xfId="8" applyFont="1" applyFill="1" applyBorder="1" applyAlignment="1">
      <alignment horizontal="center" vertical="center"/>
    </xf>
    <xf numFmtId="0" fontId="26" fillId="0" borderId="6" xfId="8" applyFont="1" applyBorder="1">
      <alignment vertical="center"/>
    </xf>
    <xf numFmtId="0" fontId="26" fillId="6" borderId="6" xfId="8" applyFont="1" applyFill="1" applyBorder="1">
      <alignment vertical="center"/>
    </xf>
    <xf numFmtId="0" fontId="26" fillId="6" borderId="6" xfId="8" applyNumberFormat="1" applyFont="1" applyFill="1" applyBorder="1" applyAlignment="1">
      <alignment horizontal="center" vertical="center" wrapText="1"/>
    </xf>
    <xf numFmtId="0" fontId="26" fillId="30" borderId="66" xfId="0" applyNumberFormat="1" applyFont="1" applyFill="1" applyBorder="1" applyAlignment="1">
      <alignment horizontal="center" vertical="center" shrinkToFit="1"/>
    </xf>
    <xf numFmtId="0" fontId="26" fillId="30" borderId="23" xfId="0" applyNumberFormat="1" applyFont="1" applyFill="1" applyBorder="1" applyAlignment="1">
      <alignment horizontal="center" vertical="center" shrinkToFit="1"/>
    </xf>
    <xf numFmtId="49" fontId="26" fillId="30" borderId="24" xfId="0" applyNumberFormat="1" applyFont="1" applyFill="1" applyBorder="1" applyAlignment="1">
      <alignment horizontal="center" vertical="center" shrinkToFit="1"/>
    </xf>
    <xf numFmtId="0" fontId="26" fillId="30" borderId="66" xfId="0" quotePrefix="1" applyNumberFormat="1" applyFont="1" applyFill="1" applyBorder="1" applyAlignment="1">
      <alignment horizontal="center" vertical="center" shrinkToFit="1"/>
    </xf>
    <xf numFmtId="49" fontId="47" fillId="6" borderId="4" xfId="7" applyNumberFormat="1" applyFont="1" applyFill="1" applyBorder="1" applyAlignment="1">
      <alignment horizontal="center" vertical="center" wrapText="1"/>
    </xf>
    <xf numFmtId="176" fontId="105" fillId="16" borderId="25" xfId="0" applyNumberFormat="1" applyFont="1" applyFill="1" applyBorder="1" applyAlignment="1">
      <alignment horizontal="center" vertical="center" wrapText="1"/>
    </xf>
    <xf numFmtId="0" fontId="73" fillId="15" borderId="226" xfId="9" applyFont="1" applyFill="1" applyBorder="1" applyAlignment="1">
      <alignment horizontal="center" vertical="center"/>
    </xf>
    <xf numFmtId="0" fontId="73" fillId="15" borderId="140" xfId="9" applyFont="1" applyFill="1" applyBorder="1" applyAlignment="1">
      <alignment horizontal="center" vertical="center"/>
    </xf>
    <xf numFmtId="49" fontId="58" fillId="6" borderId="24" xfId="9" applyNumberFormat="1" applyFont="1" applyFill="1" applyBorder="1" applyAlignment="1">
      <alignment horizontal="center" vertical="center"/>
    </xf>
    <xf numFmtId="49" fontId="58" fillId="6" borderId="6" xfId="9" applyNumberFormat="1" applyFont="1" applyFill="1" applyBorder="1" applyAlignment="1">
      <alignment horizontal="center" vertical="center"/>
    </xf>
    <xf numFmtId="14" fontId="58" fillId="6" borderId="4" xfId="9" applyNumberFormat="1" applyFont="1" applyFill="1" applyBorder="1" applyAlignment="1">
      <alignment horizontal="center" vertical="center"/>
    </xf>
    <xf numFmtId="0" fontId="29" fillId="13" borderId="2" xfId="9" applyFont="1" applyFill="1" applyBorder="1" applyAlignment="1">
      <alignment horizontal="center" vertical="center" wrapText="1"/>
    </xf>
    <xf numFmtId="0" fontId="73" fillId="15" borderId="35" xfId="9" applyFont="1" applyFill="1" applyBorder="1" applyAlignment="1">
      <alignment horizontal="center" vertical="center"/>
    </xf>
    <xf numFmtId="177" fontId="64" fillId="15" borderId="119" xfId="1" applyNumberFormat="1" applyFont="1" applyFill="1" applyBorder="1" applyAlignment="1">
      <alignment horizontal="center" vertical="center"/>
    </xf>
    <xf numFmtId="49" fontId="58" fillId="6" borderId="6" xfId="8" applyNumberFormat="1" applyFont="1" applyFill="1" applyBorder="1" applyAlignment="1">
      <alignment horizontal="center" vertical="center" wrapText="1"/>
    </xf>
    <xf numFmtId="49" fontId="58" fillId="6" borderId="4" xfId="8" applyNumberFormat="1" applyFont="1" applyFill="1" applyBorder="1" applyAlignment="1">
      <alignment horizontal="center" vertical="center" wrapText="1"/>
    </xf>
    <xf numFmtId="0" fontId="68" fillId="0" borderId="160" xfId="0" applyFont="1" applyBorder="1" applyAlignment="1">
      <alignment vertical="center"/>
    </xf>
    <xf numFmtId="49" fontId="68" fillId="0" borderId="0" xfId="0" applyNumberFormat="1" applyFont="1" applyBorder="1" applyAlignment="1">
      <alignment vertical="center"/>
    </xf>
    <xf numFmtId="0" fontId="26" fillId="11" borderId="6" xfId="8" applyFont="1" applyFill="1" applyBorder="1" applyAlignment="1">
      <alignment horizontal="center" vertical="center"/>
    </xf>
    <xf numFmtId="181" fontId="63" fillId="38" borderId="48" xfId="0" applyNumberFormat="1" applyFont="1" applyFill="1" applyBorder="1" applyAlignment="1">
      <alignment horizontal="center" vertical="center" wrapText="1"/>
    </xf>
    <xf numFmtId="181" fontId="119" fillId="38" borderId="48" xfId="0" applyNumberFormat="1" applyFont="1" applyFill="1" applyBorder="1" applyAlignment="1">
      <alignment horizontal="center" vertical="center" wrapText="1"/>
    </xf>
    <xf numFmtId="181" fontId="35" fillId="38" borderId="49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81" fontId="63" fillId="37" borderId="270" xfId="0" applyNumberFormat="1" applyFont="1" applyFill="1" applyBorder="1" applyAlignment="1">
      <alignment horizontal="center" vertical="center" wrapText="1"/>
    </xf>
    <xf numFmtId="181" fontId="119" fillId="37" borderId="270" xfId="0" applyNumberFormat="1" applyFont="1" applyFill="1" applyBorder="1" applyAlignment="1">
      <alignment horizontal="center" vertical="center" wrapText="1"/>
    </xf>
    <xf numFmtId="181" fontId="35" fillId="37" borderId="271" xfId="0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0" fontId="43" fillId="0" borderId="0" xfId="11" applyFont="1" applyAlignment="1">
      <alignment vertical="center"/>
    </xf>
    <xf numFmtId="0" fontId="26" fillId="0" borderId="0" xfId="11" quotePrefix="1" applyFont="1" applyAlignment="1">
      <alignment vertical="center"/>
    </xf>
    <xf numFmtId="0" fontId="26" fillId="0" borderId="0" xfId="11" quotePrefix="1" applyFont="1" applyAlignment="1">
      <alignment horizontal="left" vertical="top"/>
    </xf>
    <xf numFmtId="0" fontId="4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 wrapText="1" shrinkToFit="1"/>
    </xf>
    <xf numFmtId="0" fontId="16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center" vertical="center"/>
    </xf>
    <xf numFmtId="0" fontId="15" fillId="2" borderId="141" xfId="0" applyFont="1" applyFill="1" applyBorder="1" applyAlignment="1">
      <alignment horizontal="center" vertical="center"/>
    </xf>
    <xf numFmtId="0" fontId="15" fillId="2" borderId="120" xfId="0" applyFont="1" applyFill="1" applyBorder="1" applyAlignment="1">
      <alignment horizontal="center" vertical="center"/>
    </xf>
    <xf numFmtId="41" fontId="15" fillId="0" borderId="117" xfId="3" applyFont="1" applyBorder="1" applyAlignment="1">
      <alignment horizontal="center" vertical="center"/>
    </xf>
    <xf numFmtId="41" fontId="15" fillId="0" borderId="32" xfId="3" applyFont="1" applyBorder="1" applyAlignment="1">
      <alignment horizontal="center" vertical="center"/>
    </xf>
    <xf numFmtId="10" fontId="15" fillId="0" borderId="125" xfId="1" applyNumberFormat="1" applyFont="1" applyBorder="1" applyAlignment="1">
      <alignment horizontal="center" vertical="center"/>
    </xf>
    <xf numFmtId="10" fontId="15" fillId="0" borderId="113" xfId="1" applyNumberFormat="1" applyFont="1" applyBorder="1" applyAlignment="1">
      <alignment horizontal="center" vertical="center"/>
    </xf>
    <xf numFmtId="10" fontId="15" fillId="0" borderId="140" xfId="1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41" fontId="6" fillId="0" borderId="23" xfId="3" applyFont="1" applyBorder="1" applyAlignment="1">
      <alignment horizontal="center" vertical="center"/>
    </xf>
    <xf numFmtId="41" fontId="6" fillId="0" borderId="24" xfId="3" applyFont="1" applyBorder="1" applyAlignment="1">
      <alignment horizontal="center" vertical="center"/>
    </xf>
    <xf numFmtId="41" fontId="6" fillId="0" borderId="106" xfId="3" applyFont="1" applyBorder="1" applyAlignment="1">
      <alignment horizontal="center" vertical="center"/>
    </xf>
    <xf numFmtId="0" fontId="15" fillId="4" borderId="137" xfId="0" applyFont="1" applyFill="1" applyBorder="1" applyAlignment="1">
      <alignment horizontal="center" vertical="center"/>
    </xf>
    <xf numFmtId="0" fontId="15" fillId="4" borderId="113" xfId="0" applyFont="1" applyFill="1" applyBorder="1" applyAlignment="1">
      <alignment horizontal="center" vertical="center"/>
    </xf>
    <xf numFmtId="41" fontId="15" fillId="4" borderId="138" xfId="0" applyNumberFormat="1" applyFont="1" applyFill="1" applyBorder="1" applyAlignment="1">
      <alignment horizontal="center" vertical="center"/>
    </xf>
    <xf numFmtId="0" fontId="15" fillId="4" borderId="139" xfId="0" applyFont="1" applyFill="1" applyBorder="1" applyAlignment="1">
      <alignment horizontal="center" vertical="center"/>
    </xf>
    <xf numFmtId="41" fontId="15" fillId="4" borderId="125" xfId="3" applyFont="1" applyFill="1" applyBorder="1" applyAlignment="1">
      <alignment horizontal="center" vertical="center"/>
    </xf>
    <xf numFmtId="41" fontId="15" fillId="4" borderId="140" xfId="3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132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center" vertical="center" wrapText="1"/>
    </xf>
    <xf numFmtId="0" fontId="15" fillId="2" borderId="1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8" fillId="0" borderId="133" xfId="0" applyFont="1" applyBorder="1" applyAlignment="1">
      <alignment horizontal="left" vertical="center" wrapText="1"/>
    </xf>
    <xf numFmtId="0" fontId="18" fillId="0" borderId="134" xfId="0" applyFont="1" applyBorder="1" applyAlignment="1">
      <alignment horizontal="left" vertical="center" wrapText="1"/>
    </xf>
    <xf numFmtId="0" fontId="18" fillId="0" borderId="135" xfId="0" applyFont="1" applyBorder="1" applyAlignment="1">
      <alignment horizontal="left" vertical="center" wrapText="1"/>
    </xf>
    <xf numFmtId="41" fontId="6" fillId="0" borderId="133" xfId="3" applyFont="1" applyBorder="1" applyAlignment="1">
      <alignment horizontal="center" vertical="center" wrapText="1"/>
    </xf>
    <xf numFmtId="41" fontId="6" fillId="0" borderId="135" xfId="3" applyFont="1" applyBorder="1" applyAlignment="1">
      <alignment horizontal="center" vertical="center" wrapText="1"/>
    </xf>
    <xf numFmtId="41" fontId="6" fillId="0" borderId="133" xfId="3" applyFont="1" applyBorder="1" applyAlignment="1">
      <alignment horizontal="center" vertical="center"/>
    </xf>
    <xf numFmtId="41" fontId="6" fillId="0" borderId="127" xfId="3" applyFont="1" applyBorder="1" applyAlignment="1">
      <alignment horizontal="center" vertical="center"/>
    </xf>
    <xf numFmtId="0" fontId="18" fillId="0" borderId="136" xfId="0" applyFont="1" applyBorder="1" applyAlignment="1">
      <alignment horizontal="left" vertical="center" wrapText="1"/>
    </xf>
    <xf numFmtId="0" fontId="18" fillId="0" borderId="103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41" fontId="6" fillId="0" borderId="136" xfId="3" applyFont="1" applyBorder="1" applyAlignment="1">
      <alignment horizontal="center" vertical="center" wrapText="1"/>
    </xf>
    <xf numFmtId="41" fontId="6" fillId="0" borderId="61" xfId="3" applyFont="1" applyBorder="1" applyAlignment="1">
      <alignment horizontal="center" vertical="center" wrapText="1"/>
    </xf>
    <xf numFmtId="41" fontId="6" fillId="0" borderId="136" xfId="3" applyFont="1" applyBorder="1" applyAlignment="1">
      <alignment horizontal="center" vertical="center"/>
    </xf>
    <xf numFmtId="41" fontId="6" fillId="0" borderId="87" xfId="3" applyFont="1" applyBorder="1" applyAlignment="1">
      <alignment horizontal="center" vertical="center"/>
    </xf>
    <xf numFmtId="49" fontId="26" fillId="0" borderId="25" xfId="8" applyNumberFormat="1" applyFont="1" applyBorder="1" applyAlignment="1">
      <alignment horizontal="center" vertical="center"/>
    </xf>
    <xf numFmtId="49" fontId="26" fillId="0" borderId="4" xfId="8" applyNumberFormat="1" applyFont="1" applyBorder="1" applyAlignment="1">
      <alignment horizontal="center" vertical="center"/>
    </xf>
    <xf numFmtId="49" fontId="56" fillId="0" borderId="0" xfId="0" applyNumberFormat="1" applyFont="1" applyFill="1" applyAlignment="1">
      <alignment horizontal="left" vertical="center" wrapText="1"/>
    </xf>
    <xf numFmtId="49" fontId="56" fillId="0" borderId="0" xfId="0" applyNumberFormat="1" applyFont="1" applyFill="1" applyAlignment="1">
      <alignment horizontal="left" vertical="center"/>
    </xf>
    <xf numFmtId="14" fontId="58" fillId="6" borderId="23" xfId="8" applyNumberFormat="1" applyFont="1" applyFill="1" applyBorder="1" applyAlignment="1">
      <alignment horizontal="center" vertical="center"/>
    </xf>
    <xf numFmtId="0" fontId="58" fillId="6" borderId="24" xfId="8" applyFont="1" applyFill="1" applyBorder="1" applyAlignment="1">
      <alignment horizontal="center" vertical="center"/>
    </xf>
    <xf numFmtId="0" fontId="26" fillId="0" borderId="23" xfId="8" applyFont="1" applyBorder="1" applyAlignment="1">
      <alignment horizontal="center" vertical="center"/>
    </xf>
    <xf numFmtId="0" fontId="26" fillId="0" borderId="34" xfId="8" applyFont="1" applyBorder="1" applyAlignment="1">
      <alignment horizontal="center" vertical="center"/>
    </xf>
    <xf numFmtId="0" fontId="26" fillId="0" borderId="24" xfId="8" applyFont="1" applyBorder="1" applyAlignment="1">
      <alignment horizontal="center" vertical="center"/>
    </xf>
    <xf numFmtId="0" fontId="26" fillId="0" borderId="25" xfId="4" applyNumberFormat="1" applyFont="1" applyBorder="1" applyAlignment="1">
      <alignment horizontal="center" vertical="center"/>
    </xf>
    <xf numFmtId="0" fontId="26" fillId="0" borderId="4" xfId="4" applyNumberFormat="1" applyFont="1" applyBorder="1" applyAlignment="1">
      <alignment horizontal="center" vertical="center"/>
    </xf>
    <xf numFmtId="0" fontId="26" fillId="0" borderId="6" xfId="4" applyNumberFormat="1" applyFont="1" applyBorder="1" applyAlignment="1">
      <alignment horizontal="center" vertical="center"/>
    </xf>
    <xf numFmtId="49" fontId="58" fillId="0" borderId="23" xfId="8" applyNumberFormat="1" applyFont="1" applyBorder="1" applyAlignment="1">
      <alignment horizontal="center" vertical="center"/>
    </xf>
    <xf numFmtId="49" fontId="58" fillId="0" borderId="34" xfId="8" applyNumberFormat="1" applyFont="1" applyBorder="1" applyAlignment="1">
      <alignment horizontal="center" vertical="center"/>
    </xf>
    <xf numFmtId="49" fontId="58" fillId="0" borderId="24" xfId="8" applyNumberFormat="1" applyFont="1" applyBorder="1" applyAlignment="1">
      <alignment horizontal="center" vertical="center"/>
    </xf>
    <xf numFmtId="49" fontId="26" fillId="6" borderId="6" xfId="8" applyNumberFormat="1" applyFont="1" applyFill="1" applyBorder="1" applyAlignment="1">
      <alignment horizontal="center" vertical="center" wrapText="1"/>
    </xf>
    <xf numFmtId="49" fontId="58" fillId="6" borderId="6" xfId="8" applyNumberFormat="1" applyFont="1" applyFill="1" applyBorder="1" applyAlignment="1">
      <alignment horizontal="center" vertical="center" wrapText="1"/>
    </xf>
    <xf numFmtId="49" fontId="58" fillId="6" borderId="23" xfId="8" applyNumberFormat="1" applyFont="1" applyFill="1" applyBorder="1" applyAlignment="1">
      <alignment horizontal="center" vertical="center" wrapText="1"/>
    </xf>
    <xf numFmtId="49" fontId="58" fillId="6" borderId="24" xfId="8" applyNumberFormat="1" applyFont="1" applyFill="1" applyBorder="1" applyAlignment="1">
      <alignment horizontal="center" vertical="center" wrapText="1"/>
    </xf>
    <xf numFmtId="14" fontId="26" fillId="6" borderId="23" xfId="8" applyNumberFormat="1" applyFont="1" applyFill="1" applyBorder="1" applyAlignment="1">
      <alignment horizontal="center" vertical="center"/>
    </xf>
    <xf numFmtId="49" fontId="58" fillId="0" borderId="0" xfId="0" applyNumberFormat="1" applyFont="1" applyFill="1" applyBorder="1" applyAlignment="1">
      <alignment horizontal="center" vertical="center" shrinkToFit="1"/>
    </xf>
    <xf numFmtId="0" fontId="87" fillId="0" borderId="0" xfId="0" applyFont="1" applyFill="1" applyBorder="1" applyAlignment="1">
      <alignment horizontal="center" vertical="center"/>
    </xf>
    <xf numFmtId="49" fontId="28" fillId="19" borderId="0" xfId="8" applyNumberFormat="1" applyFont="1" applyFill="1" applyAlignment="1">
      <alignment horizontal="center" vertical="center"/>
    </xf>
    <xf numFmtId="49" fontId="74" fillId="19" borderId="0" xfId="8" applyNumberFormat="1" applyFont="1" applyFill="1" applyAlignment="1">
      <alignment horizontal="center" vertical="center"/>
    </xf>
    <xf numFmtId="49" fontId="26" fillId="0" borderId="25" xfId="0" applyNumberFormat="1" applyFont="1" applyFill="1" applyBorder="1" applyAlignment="1">
      <alignment horizontal="center" vertical="center" shrinkToFit="1"/>
    </xf>
    <xf numFmtId="49" fontId="26" fillId="0" borderId="30" xfId="0" applyNumberFormat="1" applyFont="1" applyFill="1" applyBorder="1" applyAlignment="1">
      <alignment horizontal="center" vertical="center" shrinkToFit="1"/>
    </xf>
    <xf numFmtId="49" fontId="26" fillId="0" borderId="4" xfId="0" applyNumberFormat="1" applyFont="1" applyFill="1" applyBorder="1" applyAlignment="1">
      <alignment horizontal="center" vertical="center" shrinkToFit="1"/>
    </xf>
    <xf numFmtId="0" fontId="29" fillId="8" borderId="23" xfId="8" applyFont="1" applyFill="1" applyBorder="1" applyAlignment="1">
      <alignment horizontal="center" vertical="center"/>
    </xf>
    <xf numFmtId="0" fontId="57" fillId="8" borderId="34" xfId="8" applyFont="1" applyFill="1" applyBorder="1" applyAlignment="1">
      <alignment horizontal="center" vertical="center"/>
    </xf>
    <xf numFmtId="0" fontId="57" fillId="8" borderId="27" xfId="8" applyFont="1" applyFill="1" applyBorder="1" applyAlignment="1">
      <alignment horizontal="center" vertical="center"/>
    </xf>
    <xf numFmtId="0" fontId="58" fillId="0" borderId="0" xfId="8" applyFont="1" applyFill="1" applyBorder="1" applyAlignment="1">
      <alignment horizontal="center" vertical="center"/>
    </xf>
    <xf numFmtId="14" fontId="58" fillId="0" borderId="0" xfId="8" applyNumberFormat="1" applyFont="1" applyFill="1" applyBorder="1" applyAlignment="1">
      <alignment horizontal="center" vertical="center"/>
    </xf>
    <xf numFmtId="0" fontId="57" fillId="8" borderId="0" xfId="8" applyFont="1" applyFill="1" applyBorder="1" applyAlignment="1">
      <alignment horizontal="center" vertical="center"/>
    </xf>
    <xf numFmtId="49" fontId="57" fillId="3" borderId="0" xfId="0" applyNumberFormat="1" applyFont="1" applyFill="1" applyBorder="1" applyAlignment="1">
      <alignment horizontal="center" vertical="center" shrinkToFit="1"/>
    </xf>
    <xf numFmtId="49" fontId="57" fillId="3" borderId="0" xfId="0" applyNumberFormat="1" applyFont="1" applyFill="1" applyBorder="1" applyAlignment="1">
      <alignment horizontal="center" vertical="center" wrapText="1" shrinkToFit="1"/>
    </xf>
    <xf numFmtId="0" fontId="29" fillId="3" borderId="0" xfId="0" applyNumberFormat="1" applyFont="1" applyFill="1" applyBorder="1" applyAlignment="1">
      <alignment horizontal="center" vertical="center" wrapText="1" shrinkToFit="1"/>
    </xf>
    <xf numFmtId="0" fontId="57" fillId="3" borderId="0" xfId="0" applyNumberFormat="1" applyFont="1" applyFill="1" applyBorder="1" applyAlignment="1">
      <alignment horizontal="center" vertical="center" shrinkToFit="1"/>
    </xf>
    <xf numFmtId="49" fontId="26" fillId="6" borderId="0" xfId="8" applyNumberFormat="1" applyFont="1" applyFill="1" applyBorder="1" applyAlignment="1">
      <alignment horizontal="center" vertical="center" wrapText="1"/>
    </xf>
    <xf numFmtId="49" fontId="58" fillId="6" borderId="0" xfId="8" applyNumberFormat="1" applyFont="1" applyFill="1" applyBorder="1" applyAlignment="1">
      <alignment horizontal="center" vertical="center" wrapText="1"/>
    </xf>
    <xf numFmtId="49" fontId="28" fillId="19" borderId="0" xfId="8" applyNumberFormat="1" applyFont="1" applyFill="1" applyBorder="1" applyAlignment="1">
      <alignment horizontal="center" vertical="center"/>
    </xf>
    <xf numFmtId="49" fontId="74" fillId="19" borderId="0" xfId="8" applyNumberFormat="1" applyFont="1" applyFill="1" applyBorder="1" applyAlignment="1">
      <alignment horizontal="center" vertical="center"/>
    </xf>
    <xf numFmtId="0" fontId="57" fillId="8" borderId="24" xfId="8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 shrinkToFit="1"/>
    </xf>
    <xf numFmtId="0" fontId="26" fillId="0" borderId="25" xfId="8" applyFont="1" applyBorder="1" applyAlignment="1">
      <alignment horizontal="center" vertical="center"/>
    </xf>
    <xf numFmtId="0" fontId="26" fillId="0" borderId="30" xfId="8" applyFont="1" applyBorder="1" applyAlignment="1">
      <alignment horizontal="center" vertical="center"/>
    </xf>
    <xf numFmtId="49" fontId="26" fillId="30" borderId="23" xfId="0" applyNumberFormat="1" applyFont="1" applyFill="1" applyBorder="1" applyAlignment="1">
      <alignment horizontal="center" vertical="center" shrinkToFit="1"/>
    </xf>
    <xf numFmtId="49" fontId="58" fillId="30" borderId="34" xfId="0" applyNumberFormat="1" applyFont="1" applyFill="1" applyBorder="1" applyAlignment="1">
      <alignment horizontal="center" vertical="center" shrinkToFit="1"/>
    </xf>
    <xf numFmtId="0" fontId="26" fillId="0" borderId="30" xfId="4" applyNumberFormat="1" applyFont="1" applyBorder="1" applyAlignment="1">
      <alignment horizontal="center" vertical="center"/>
    </xf>
    <xf numFmtId="0" fontId="29" fillId="3" borderId="23" xfId="8" applyFont="1" applyFill="1" applyBorder="1" applyAlignment="1">
      <alignment horizontal="center" vertical="center"/>
    </xf>
    <xf numFmtId="0" fontId="57" fillId="3" borderId="34" xfId="8" applyFont="1" applyFill="1" applyBorder="1" applyAlignment="1">
      <alignment horizontal="center" vertical="center"/>
    </xf>
    <xf numFmtId="0" fontId="57" fillId="3" borderId="24" xfId="8" applyFont="1" applyFill="1" applyBorder="1" applyAlignment="1">
      <alignment horizontal="center" vertical="center"/>
    </xf>
    <xf numFmtId="0" fontId="57" fillId="3" borderId="23" xfId="8" applyFont="1" applyFill="1" applyBorder="1" applyAlignment="1">
      <alignment horizontal="center" vertical="center"/>
    </xf>
    <xf numFmtId="0" fontId="57" fillId="3" borderId="6" xfId="8" applyFont="1" applyFill="1" applyBorder="1" applyAlignment="1">
      <alignment horizontal="center" vertical="center"/>
    </xf>
    <xf numFmtId="49" fontId="56" fillId="0" borderId="0" xfId="8" applyNumberFormat="1" applyFont="1" applyFill="1" applyBorder="1" applyAlignment="1">
      <alignment horizontal="left" vertical="center"/>
    </xf>
    <xf numFmtId="0" fontId="57" fillId="3" borderId="0" xfId="8" applyFont="1" applyFill="1" applyBorder="1" applyAlignment="1">
      <alignment horizontal="center" vertical="center"/>
    </xf>
    <xf numFmtId="0" fontId="58" fillId="0" borderId="0" xfId="8" applyFont="1" applyBorder="1" applyAlignment="1">
      <alignment horizontal="center" vertical="center"/>
    </xf>
    <xf numFmtId="14" fontId="58" fillId="6" borderId="0" xfId="8" applyNumberFormat="1" applyFont="1" applyFill="1" applyBorder="1" applyAlignment="1">
      <alignment horizontal="center" vertical="center"/>
    </xf>
    <xf numFmtId="0" fontId="58" fillId="6" borderId="0" xfId="8" applyFont="1" applyFill="1" applyBorder="1" applyAlignment="1">
      <alignment horizontal="center" vertical="center"/>
    </xf>
    <xf numFmtId="49" fontId="58" fillId="0" borderId="0" xfId="8" applyNumberFormat="1" applyFont="1" applyBorder="1" applyAlignment="1">
      <alignment horizontal="center" vertical="center"/>
    </xf>
    <xf numFmtId="49" fontId="48" fillId="0" borderId="0" xfId="8" applyNumberFormat="1" applyFont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 wrapText="1"/>
    </xf>
    <xf numFmtId="0" fontId="53" fillId="3" borderId="2" xfId="7" applyFont="1" applyFill="1" applyBorder="1" applyAlignment="1">
      <alignment horizontal="center" vertical="center" wrapText="1"/>
    </xf>
    <xf numFmtId="49" fontId="75" fillId="3" borderId="142" xfId="12" applyNumberFormat="1" applyFont="1" applyFill="1" applyBorder="1" applyAlignment="1">
      <alignment horizontal="center" vertical="center"/>
    </xf>
    <xf numFmtId="49" fontId="75" fillId="3" borderId="100" xfId="12" applyNumberFormat="1" applyFont="1" applyFill="1" applyBorder="1" applyAlignment="1">
      <alignment horizontal="center" vertical="center"/>
    </xf>
    <xf numFmtId="49" fontId="75" fillId="3" borderId="143" xfId="12" applyNumberFormat="1" applyFont="1" applyFill="1" applyBorder="1" applyAlignment="1">
      <alignment horizontal="center" vertical="center"/>
    </xf>
    <xf numFmtId="0" fontId="76" fillId="3" borderId="137" xfId="12" applyNumberFormat="1" applyFont="1" applyFill="1" applyBorder="1" applyAlignment="1">
      <alignment horizontal="center" vertical="center"/>
    </xf>
    <xf numFmtId="0" fontId="76" fillId="3" borderId="113" xfId="12" applyNumberFormat="1" applyFont="1" applyFill="1" applyBorder="1" applyAlignment="1">
      <alignment horizontal="center" vertical="center"/>
    </xf>
    <xf numFmtId="0" fontId="76" fillId="3" borderId="140" xfId="12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3" fillId="0" borderId="0" xfId="0" applyFont="1" applyAlignment="1">
      <alignment horizontal="left" vertical="top" wrapText="1"/>
    </xf>
    <xf numFmtId="0" fontId="79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68" fillId="0" borderId="160" xfId="0" applyFont="1" applyBorder="1" applyAlignment="1">
      <alignment horizontal="left" vertical="center"/>
    </xf>
    <xf numFmtId="0" fontId="125" fillId="0" borderId="0" xfId="0" applyFont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153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153" xfId="0" applyFont="1" applyBorder="1" applyAlignment="1">
      <alignment vertical="center" wrapText="1"/>
    </xf>
    <xf numFmtId="0" fontId="25" fillId="0" borderId="56" xfId="0" applyFont="1" applyBorder="1" applyAlignment="1">
      <alignment vertical="center" wrapText="1"/>
    </xf>
    <xf numFmtId="49" fontId="25" fillId="0" borderId="49" xfId="0" quotePrefix="1" applyNumberFormat="1" applyFont="1" applyBorder="1" applyAlignment="1">
      <alignment vertical="center" wrapText="1"/>
    </xf>
    <xf numFmtId="49" fontId="25" fillId="0" borderId="154" xfId="0" applyNumberFormat="1" applyFont="1" applyBorder="1" applyAlignment="1">
      <alignment vertical="center" wrapText="1"/>
    </xf>
    <xf numFmtId="0" fontId="25" fillId="0" borderId="159" xfId="0" applyFont="1" applyFill="1" applyBorder="1" applyAlignment="1">
      <alignment horizontal="center" vertical="center" wrapText="1"/>
    </xf>
    <xf numFmtId="0" fontId="25" fillId="0" borderId="160" xfId="0" applyFont="1" applyFill="1" applyBorder="1" applyAlignment="1">
      <alignment horizontal="center" vertical="center" wrapText="1"/>
    </xf>
    <xf numFmtId="0" fontId="25" fillId="0" borderId="161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162" xfId="0" applyFont="1" applyBorder="1" applyAlignment="1">
      <alignment horizontal="center" vertical="center" wrapText="1"/>
    </xf>
    <xf numFmtId="0" fontId="25" fillId="0" borderId="145" xfId="0" applyFont="1" applyBorder="1" applyAlignment="1">
      <alignment horizontal="center" vertical="center" wrapText="1"/>
    </xf>
    <xf numFmtId="0" fontId="25" fillId="0" borderId="163" xfId="0" applyFont="1" applyBorder="1" applyAlignment="1">
      <alignment horizontal="center" vertical="center" wrapText="1"/>
    </xf>
    <xf numFmtId="49" fontId="77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25" fillId="0" borderId="152" xfId="0" quotePrefix="1" applyFont="1" applyBorder="1" applyAlignment="1">
      <alignment vertical="center" wrapText="1"/>
    </xf>
    <xf numFmtId="0" fontId="25" fillId="0" borderId="50" xfId="0" applyFont="1" applyBorder="1" applyAlignment="1">
      <alignment vertical="center" wrapText="1"/>
    </xf>
    <xf numFmtId="0" fontId="25" fillId="0" borderId="154" xfId="0" applyFont="1" applyBorder="1" applyAlignment="1">
      <alignment vertical="center" wrapText="1"/>
    </xf>
    <xf numFmtId="0" fontId="25" fillId="0" borderId="49" xfId="0" quotePrefix="1" applyFont="1" applyBorder="1" applyAlignment="1">
      <alignment vertical="center" wrapText="1"/>
    </xf>
    <xf numFmtId="0" fontId="25" fillId="0" borderId="153" xfId="0" quotePrefix="1" applyFont="1" applyBorder="1" applyAlignment="1">
      <alignment vertical="center" wrapText="1"/>
    </xf>
    <xf numFmtId="0" fontId="25" fillId="0" borderId="56" xfId="0" quotePrefix="1" applyFont="1" applyBorder="1" applyAlignment="1">
      <alignment vertical="center" wrapText="1"/>
    </xf>
    <xf numFmtId="0" fontId="25" fillId="0" borderId="155" xfId="0" applyFont="1" applyBorder="1" applyAlignment="1">
      <alignment horizontal="center" vertical="center" wrapText="1"/>
    </xf>
    <xf numFmtId="0" fontId="25" fillId="0" borderId="144" xfId="0" applyFont="1" applyBorder="1" applyAlignment="1">
      <alignment horizontal="center" vertical="center" wrapText="1"/>
    </xf>
    <xf numFmtId="0" fontId="35" fillId="17" borderId="10" xfId="0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0" fontId="35" fillId="17" borderId="8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6" xfId="0" applyFont="1" applyBorder="1" applyAlignment="1">
      <alignment horizontal="center" vertical="center" wrapText="1"/>
    </xf>
    <xf numFmtId="0" fontId="25" fillId="0" borderId="157" xfId="0" applyFont="1" applyBorder="1" applyAlignment="1">
      <alignment horizontal="center" vertical="center" wrapText="1"/>
    </xf>
    <xf numFmtId="0" fontId="25" fillId="0" borderId="14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35" fillId="24" borderId="45" xfId="0" applyFont="1" applyFill="1" applyBorder="1" applyAlignment="1">
      <alignment horizontal="center" vertical="center" wrapText="1"/>
    </xf>
    <xf numFmtId="0" fontId="35" fillId="17" borderId="145" xfId="0" applyFont="1" applyFill="1" applyBorder="1" applyAlignment="1">
      <alignment horizontal="center" vertical="center" wrapText="1"/>
    </xf>
    <xf numFmtId="0" fontId="35" fillId="17" borderId="5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5" fillId="9" borderId="59" xfId="0" applyFont="1" applyFill="1" applyBorder="1" applyAlignment="1">
      <alignment horizontal="center" vertical="center" wrapText="1"/>
    </xf>
    <xf numFmtId="0" fontId="35" fillId="9" borderId="167" xfId="0" applyFont="1" applyFill="1" applyBorder="1" applyAlignment="1">
      <alignment horizontal="center" vertical="center" wrapText="1"/>
    </xf>
    <xf numFmtId="0" fontId="35" fillId="9" borderId="168" xfId="0" applyFont="1" applyFill="1" applyBorder="1" applyAlignment="1">
      <alignment horizontal="center" vertical="center" wrapText="1"/>
    </xf>
    <xf numFmtId="0" fontId="35" fillId="25" borderId="13" xfId="0" applyFont="1" applyFill="1" applyBorder="1" applyAlignment="1">
      <alignment horizontal="center" vertical="center" wrapText="1"/>
    </xf>
    <xf numFmtId="0" fontId="35" fillId="25" borderId="145" xfId="0" applyFont="1" applyFill="1" applyBorder="1" applyAlignment="1">
      <alignment horizontal="center" vertical="center" wrapText="1"/>
    </xf>
    <xf numFmtId="0" fontId="35" fillId="25" borderId="53" xfId="0" applyFont="1" applyFill="1" applyBorder="1" applyAlignment="1">
      <alignment horizontal="center" vertical="center" wrapText="1"/>
    </xf>
    <xf numFmtId="0" fontId="25" fillId="0" borderId="149" xfId="0" applyNumberFormat="1" applyFont="1" applyBorder="1" applyAlignment="1">
      <alignment horizontal="center" vertical="center" wrapText="1"/>
    </xf>
    <xf numFmtId="0" fontId="25" fillId="0" borderId="150" xfId="0" applyNumberFormat="1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151" xfId="0" applyFont="1" applyBorder="1" applyAlignment="1">
      <alignment horizontal="center" vertical="center" wrapText="1"/>
    </xf>
    <xf numFmtId="0" fontId="25" fillId="0" borderId="58" xfId="0" applyNumberFormat="1" applyFont="1" applyBorder="1" applyAlignment="1">
      <alignment horizontal="center" vertical="center" wrapText="1"/>
    </xf>
    <xf numFmtId="0" fontId="25" fillId="0" borderId="15" xfId="0" applyNumberFormat="1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 wrapText="1"/>
    </xf>
    <xf numFmtId="0" fontId="35" fillId="24" borderId="57" xfId="0" applyFont="1" applyFill="1" applyBorder="1" applyAlignment="1">
      <alignment horizontal="center" vertical="center" wrapText="1"/>
    </xf>
    <xf numFmtId="0" fontId="35" fillId="24" borderId="81" xfId="0" applyFont="1" applyFill="1" applyBorder="1" applyAlignment="1">
      <alignment horizontal="center" vertical="center" wrapText="1"/>
    </xf>
    <xf numFmtId="0" fontId="25" fillId="11" borderId="45" xfId="0" applyFont="1" applyFill="1" applyBorder="1" applyAlignment="1">
      <alignment horizontal="center" vertical="center" wrapText="1"/>
    </xf>
    <xf numFmtId="0" fontId="25" fillId="0" borderId="169" xfId="0" applyFont="1" applyBorder="1" applyAlignment="1">
      <alignment horizontal="center" vertical="center" wrapText="1"/>
    </xf>
    <xf numFmtId="0" fontId="25" fillId="0" borderId="165" xfId="0" applyFont="1" applyBorder="1" applyAlignment="1">
      <alignment horizontal="center" vertical="center" wrapText="1"/>
    </xf>
    <xf numFmtId="0" fontId="35" fillId="24" borderId="19" xfId="0" applyFont="1" applyFill="1" applyBorder="1" applyAlignment="1">
      <alignment horizontal="center" vertical="center" wrapText="1"/>
    </xf>
    <xf numFmtId="0" fontId="35" fillId="24" borderId="103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57" xfId="0" applyFont="1" applyBorder="1" applyAlignment="1">
      <alignment horizontal="center" wrapText="1"/>
    </xf>
    <xf numFmtId="0" fontId="25" fillId="16" borderId="144" xfId="0" applyFont="1" applyFill="1" applyBorder="1" applyAlignment="1">
      <alignment horizontal="center" vertical="center" wrapText="1"/>
    </xf>
    <xf numFmtId="0" fontId="25" fillId="16" borderId="82" xfId="0" applyFont="1" applyFill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25" fillId="0" borderId="53" xfId="0" applyFont="1" applyBorder="1" applyAlignment="1">
      <alignment horizontal="center" wrapText="1"/>
    </xf>
    <xf numFmtId="0" fontId="25" fillId="0" borderId="144" xfId="0" applyFont="1" applyBorder="1" applyAlignment="1">
      <alignment horizontal="center" wrapText="1"/>
    </xf>
    <xf numFmtId="0" fontId="25" fillId="0" borderId="82" xfId="0" applyFont="1" applyBorder="1" applyAlignment="1">
      <alignment horizont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16" borderId="144" xfId="0" applyFont="1" applyFill="1" applyBorder="1" applyAlignment="1">
      <alignment horizontal="center" vertical="top" wrapText="1"/>
    </xf>
    <xf numFmtId="0" fontId="25" fillId="16" borderId="82" xfId="0" applyFont="1" applyFill="1" applyBorder="1" applyAlignment="1">
      <alignment horizontal="center" vertical="top" wrapText="1"/>
    </xf>
    <xf numFmtId="0" fontId="25" fillId="0" borderId="61" xfId="0" applyFont="1" applyFill="1" applyBorder="1" applyAlignment="1">
      <alignment horizontal="center" vertical="center" wrapText="1"/>
    </xf>
    <xf numFmtId="0" fontId="35" fillId="17" borderId="24" xfId="0" applyFont="1" applyFill="1" applyBorder="1" applyAlignment="1">
      <alignment horizontal="center" vertical="center" wrapText="1"/>
    </xf>
    <xf numFmtId="0" fontId="35" fillId="17" borderId="6" xfId="0" applyFont="1" applyFill="1" applyBorder="1" applyAlignment="1">
      <alignment horizontal="center" vertical="center" wrapText="1"/>
    </xf>
    <xf numFmtId="49" fontId="25" fillId="0" borderId="49" xfId="0" quotePrefix="1" applyNumberFormat="1" applyFont="1" applyBorder="1" applyAlignment="1">
      <alignment horizontal="center" vertical="center" wrapText="1"/>
    </xf>
    <xf numFmtId="49" fontId="25" fillId="0" borderId="153" xfId="0" quotePrefix="1" applyNumberFormat="1" applyFont="1" applyBorder="1" applyAlignment="1">
      <alignment horizontal="center" vertical="center" wrapText="1"/>
    </xf>
    <xf numFmtId="0" fontId="25" fillId="0" borderId="164" xfId="0" applyFont="1" applyBorder="1" applyAlignment="1">
      <alignment vertical="center" wrapText="1"/>
    </xf>
    <xf numFmtId="0" fontId="25" fillId="0" borderId="166" xfId="0" applyFont="1" applyBorder="1" applyAlignment="1">
      <alignment horizontal="center" vertical="center" wrapText="1"/>
    </xf>
    <xf numFmtId="0" fontId="25" fillId="0" borderId="129" xfId="0" applyFont="1" applyBorder="1" applyAlignment="1">
      <alignment horizontal="center" vertical="center" wrapText="1"/>
    </xf>
    <xf numFmtId="182" fontId="63" fillId="4" borderId="44" xfId="0" applyNumberFormat="1" applyFont="1" applyFill="1" applyBorder="1" applyAlignment="1">
      <alignment horizontal="center" vertical="center" wrapText="1"/>
    </xf>
    <xf numFmtId="182" fontId="63" fillId="4" borderId="58" xfId="0" applyNumberFormat="1" applyFont="1" applyFill="1" applyBorder="1" applyAlignment="1">
      <alignment horizontal="center" vertical="center" wrapText="1"/>
    </xf>
    <xf numFmtId="182" fontId="63" fillId="4" borderId="14" xfId="0" applyNumberFormat="1" applyFont="1" applyFill="1" applyBorder="1" applyAlignment="1">
      <alignment horizontal="center" vertical="center" wrapText="1"/>
    </xf>
    <xf numFmtId="182" fontId="63" fillId="4" borderId="130" xfId="0" applyNumberFormat="1" applyFont="1" applyFill="1" applyBorder="1" applyAlignment="1">
      <alignment horizontal="center" vertical="center" wrapText="1"/>
    </xf>
    <xf numFmtId="0" fontId="35" fillId="38" borderId="147" xfId="0" applyFont="1" applyFill="1" applyBorder="1" applyAlignment="1">
      <alignment horizontal="center" vertical="center" wrapText="1"/>
    </xf>
    <xf numFmtId="0" fontId="35" fillId="38" borderId="57" xfId="0" applyFont="1" applyFill="1" applyBorder="1" applyAlignment="1">
      <alignment horizontal="center" vertical="center" wrapText="1"/>
    </xf>
    <xf numFmtId="0" fontId="35" fillId="38" borderId="81" xfId="0" applyFont="1" applyFill="1" applyBorder="1" applyAlignment="1">
      <alignment horizontal="center" vertical="center" wrapText="1"/>
    </xf>
    <xf numFmtId="0" fontId="25" fillId="0" borderId="148" xfId="0" applyFont="1" applyBorder="1" applyAlignment="1">
      <alignment horizontal="center" vertical="center" wrapText="1"/>
    </xf>
    <xf numFmtId="0" fontId="25" fillId="0" borderId="150" xfId="0" applyFont="1" applyBorder="1" applyAlignment="1">
      <alignment horizontal="center" vertical="center" wrapText="1"/>
    </xf>
    <xf numFmtId="0" fontId="25" fillId="30" borderId="13" xfId="0" applyFont="1" applyFill="1" applyBorder="1" applyAlignment="1">
      <alignment horizontal="center" vertical="center" wrapText="1"/>
    </xf>
    <xf numFmtId="0" fontId="25" fillId="30" borderId="145" xfId="0" applyFont="1" applyFill="1" applyBorder="1" applyAlignment="1">
      <alignment horizontal="center" vertical="center" wrapText="1"/>
    </xf>
    <xf numFmtId="0" fontId="25" fillId="30" borderId="53" xfId="0" applyFont="1" applyFill="1" applyBorder="1" applyAlignment="1">
      <alignment horizontal="center" vertical="center" wrapText="1"/>
    </xf>
    <xf numFmtId="181" fontId="63" fillId="16" borderId="14" xfId="0" applyNumberFormat="1" applyFont="1" applyFill="1" applyBorder="1" applyAlignment="1">
      <alignment horizontal="center" vertical="center" wrapText="1"/>
    </xf>
    <xf numFmtId="181" fontId="63" fillId="16" borderId="15" xfId="0" applyNumberFormat="1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148" xfId="0" applyNumberFormat="1" applyFont="1" applyBorder="1" applyAlignment="1">
      <alignment horizontal="center" vertical="center" wrapText="1"/>
    </xf>
    <xf numFmtId="0" fontId="26" fillId="0" borderId="148" xfId="0" applyNumberFormat="1" applyFont="1" applyBorder="1" applyAlignment="1">
      <alignment horizontal="center" vertical="center" wrapText="1"/>
    </xf>
    <xf numFmtId="0" fontId="26" fillId="0" borderId="149" xfId="0" applyNumberFormat="1" applyFont="1" applyBorder="1" applyAlignment="1">
      <alignment horizontal="center" vertical="center" wrapText="1"/>
    </xf>
    <xf numFmtId="0" fontId="26" fillId="0" borderId="149" xfId="0" applyNumberFormat="1" applyFont="1" applyBorder="1" applyAlignment="1">
      <alignment horizontal="center" vertical="center"/>
    </xf>
    <xf numFmtId="0" fontId="26" fillId="0" borderId="150" xfId="0" applyNumberFormat="1" applyFont="1" applyBorder="1" applyAlignment="1">
      <alignment horizontal="center" vertical="center"/>
    </xf>
    <xf numFmtId="0" fontId="26" fillId="0" borderId="45" xfId="0" applyNumberFormat="1" applyFont="1" applyBorder="1" applyAlignment="1">
      <alignment horizontal="center" vertical="center" wrapText="1"/>
    </xf>
    <xf numFmtId="0" fontId="25" fillId="0" borderId="130" xfId="0" applyFont="1" applyBorder="1" applyAlignment="1">
      <alignment horizontal="center" vertical="center" wrapText="1"/>
    </xf>
    <xf numFmtId="0" fontId="35" fillId="18" borderId="10" xfId="0" applyFont="1" applyFill="1" applyBorder="1" applyAlignment="1">
      <alignment horizontal="center" vertical="center" wrapText="1"/>
    </xf>
    <xf numFmtId="0" fontId="35" fillId="18" borderId="57" xfId="0" applyFont="1" applyFill="1" applyBorder="1" applyAlignment="1">
      <alignment horizontal="center" vertical="center" wrapText="1"/>
    </xf>
    <xf numFmtId="0" fontId="35" fillId="18" borderId="81" xfId="0" applyFont="1" applyFill="1" applyBorder="1" applyAlignment="1">
      <alignment horizontal="center" vertical="center" wrapText="1"/>
    </xf>
    <xf numFmtId="0" fontId="26" fillId="0" borderId="10" xfId="0" applyNumberFormat="1" applyFont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center" vertical="center" wrapText="1"/>
    </xf>
    <xf numFmtId="0" fontId="35" fillId="26" borderId="57" xfId="0" applyFont="1" applyFill="1" applyBorder="1" applyAlignment="1">
      <alignment horizontal="center" vertical="center" wrapText="1"/>
    </xf>
    <xf numFmtId="0" fontId="35" fillId="26" borderId="145" xfId="0" applyFont="1" applyFill="1" applyBorder="1" applyAlignment="1">
      <alignment horizontal="center" vertical="center" wrapText="1"/>
    </xf>
    <xf numFmtId="0" fontId="35" fillId="26" borderId="81" xfId="0" applyFont="1" applyFill="1" applyBorder="1" applyAlignment="1">
      <alignment horizontal="center" vertical="center" wrapText="1"/>
    </xf>
    <xf numFmtId="0" fontId="35" fillId="24" borderId="79" xfId="0" applyFont="1" applyFill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 wrapText="1"/>
    </xf>
    <xf numFmtId="0" fontId="25" fillId="11" borderId="57" xfId="0" applyFont="1" applyFill="1" applyBorder="1" applyAlignment="1">
      <alignment horizontal="center" vertical="center" wrapText="1"/>
    </xf>
    <xf numFmtId="0" fontId="25" fillId="11" borderId="81" xfId="0" applyFont="1" applyFill="1" applyBorder="1" applyAlignment="1">
      <alignment horizontal="center" vertical="center" wrapText="1"/>
    </xf>
    <xf numFmtId="0" fontId="35" fillId="37" borderId="267" xfId="0" applyFont="1" applyFill="1" applyBorder="1" applyAlignment="1">
      <alignment horizontal="center" vertical="center" wrapText="1"/>
    </xf>
    <xf numFmtId="0" fontId="35" fillId="37" borderId="268" xfId="0" applyFont="1" applyFill="1" applyBorder="1" applyAlignment="1">
      <alignment horizontal="center" vertical="center" wrapText="1"/>
    </xf>
    <xf numFmtId="0" fontId="35" fillId="37" borderId="269" xfId="0" applyFont="1" applyFill="1" applyBorder="1" applyAlignment="1">
      <alignment horizontal="center" vertical="center" wrapText="1"/>
    </xf>
    <xf numFmtId="181" fontId="135" fillId="16" borderId="14" xfId="0" applyNumberFormat="1" applyFont="1" applyFill="1" applyBorder="1" applyAlignment="1">
      <alignment horizontal="center" vertical="center" wrapText="1"/>
    </xf>
    <xf numFmtId="181" fontId="135" fillId="16" borderId="15" xfId="0" applyNumberFormat="1" applyFont="1" applyFill="1" applyBorder="1" applyAlignment="1">
      <alignment horizontal="center" vertical="center" wrapText="1"/>
    </xf>
    <xf numFmtId="182" fontId="135" fillId="16" borderId="14" xfId="0" applyNumberFormat="1" applyFont="1" applyFill="1" applyBorder="1" applyAlignment="1">
      <alignment horizontal="center" vertical="center" wrapText="1"/>
    </xf>
    <xf numFmtId="182" fontId="135" fillId="16" borderId="58" xfId="0" applyNumberFormat="1" applyFont="1" applyFill="1" applyBorder="1" applyAlignment="1">
      <alignment horizontal="center" vertical="center" wrapText="1"/>
    </xf>
    <xf numFmtId="182" fontId="135" fillId="16" borderId="15" xfId="0" applyNumberFormat="1" applyFont="1" applyFill="1" applyBorder="1" applyAlignment="1">
      <alignment horizontal="center" vertical="center" wrapText="1"/>
    </xf>
    <xf numFmtId="182" fontId="135" fillId="16" borderId="44" xfId="0" applyNumberFormat="1" applyFont="1" applyFill="1" applyBorder="1" applyAlignment="1">
      <alignment horizontal="center" vertical="center" wrapText="1"/>
    </xf>
    <xf numFmtId="182" fontId="135" fillId="16" borderId="130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shrinkToFit="1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14" xfId="0" applyNumberFormat="1" applyFont="1" applyBorder="1" applyAlignment="1">
      <alignment horizontal="center" vertical="center" wrapText="1"/>
    </xf>
    <xf numFmtId="0" fontId="25" fillId="0" borderId="146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03" xfId="0" applyFont="1" applyBorder="1" applyAlignment="1">
      <alignment horizontal="center" vertical="center" wrapText="1"/>
    </xf>
    <xf numFmtId="0" fontId="25" fillId="0" borderId="158" xfId="0" applyFont="1" applyBorder="1" applyAlignment="1">
      <alignment horizontal="center" vertical="center" wrapText="1"/>
    </xf>
    <xf numFmtId="49" fontId="29" fillId="13" borderId="123" xfId="0" applyNumberFormat="1" applyFont="1" applyFill="1" applyBorder="1" applyAlignment="1">
      <alignment horizontal="center" vertical="center" wrapText="1"/>
    </xf>
    <xf numFmtId="49" fontId="29" fillId="13" borderId="100" xfId="0" applyNumberFormat="1" applyFont="1" applyFill="1" applyBorder="1" applyAlignment="1">
      <alignment horizontal="center" vertical="center" wrapText="1"/>
    </xf>
    <xf numFmtId="49" fontId="29" fillId="13" borderId="122" xfId="0" applyNumberFormat="1" applyFont="1" applyFill="1" applyBorder="1" applyAlignment="1">
      <alignment horizontal="center" vertical="center" wrapText="1"/>
    </xf>
    <xf numFmtId="49" fontId="29" fillId="13" borderId="40" xfId="0" applyNumberFormat="1" applyFont="1" applyFill="1" applyBorder="1" applyAlignment="1">
      <alignment horizontal="center" vertical="center" wrapText="1"/>
    </xf>
    <xf numFmtId="49" fontId="29" fillId="13" borderId="197" xfId="0" applyNumberFormat="1" applyFont="1" applyFill="1" applyBorder="1" applyAlignment="1">
      <alignment horizontal="center" vertical="center" wrapText="1"/>
    </xf>
    <xf numFmtId="49" fontId="29" fillId="13" borderId="77" xfId="0" applyNumberFormat="1" applyFont="1" applyFill="1" applyBorder="1" applyAlignment="1">
      <alignment horizontal="center" vertical="center" wrapText="1"/>
    </xf>
    <xf numFmtId="0" fontId="29" fillId="13" borderId="123" xfId="0" applyFont="1" applyFill="1" applyBorder="1" applyAlignment="1">
      <alignment horizontal="center" vertical="center"/>
    </xf>
    <xf numFmtId="0" fontId="29" fillId="13" borderId="100" xfId="0" applyFont="1" applyFill="1" applyBorder="1" applyAlignment="1">
      <alignment horizontal="center" vertical="center"/>
    </xf>
    <xf numFmtId="0" fontId="29" fillId="13" borderId="122" xfId="0" applyFont="1" applyFill="1" applyBorder="1" applyAlignment="1">
      <alignment horizontal="center" vertical="center"/>
    </xf>
    <xf numFmtId="0" fontId="29" fillId="13" borderId="40" xfId="0" applyFont="1" applyFill="1" applyBorder="1" applyAlignment="1">
      <alignment horizontal="center" vertical="center"/>
    </xf>
    <xf numFmtId="0" fontId="29" fillId="13" borderId="197" xfId="0" applyFont="1" applyFill="1" applyBorder="1" applyAlignment="1">
      <alignment horizontal="center" vertical="center"/>
    </xf>
    <xf numFmtId="0" fontId="29" fillId="13" borderId="77" xfId="0" applyFont="1" applyFill="1" applyBorder="1" applyAlignment="1">
      <alignment horizontal="center" vertical="center"/>
    </xf>
    <xf numFmtId="49" fontId="109" fillId="14" borderId="6" xfId="0" applyNumberFormat="1" applyFont="1" applyFill="1" applyBorder="1" applyAlignment="1">
      <alignment horizontal="center" vertical="center" shrinkToFit="1"/>
    </xf>
    <xf numFmtId="0" fontId="43" fillId="20" borderId="184" xfId="0" applyFont="1" applyFill="1" applyBorder="1" applyAlignment="1">
      <alignment horizontal="center" vertical="center"/>
    </xf>
    <xf numFmtId="0" fontId="43" fillId="20" borderId="34" xfId="0" applyFont="1" applyFill="1" applyBorder="1" applyAlignment="1">
      <alignment horizontal="center" vertical="center"/>
    </xf>
    <xf numFmtId="0" fontId="43" fillId="20" borderId="24" xfId="0" applyFont="1" applyFill="1" applyBorder="1" applyAlignment="1">
      <alignment horizontal="center" vertical="center"/>
    </xf>
    <xf numFmtId="0" fontId="136" fillId="4" borderId="188" xfId="0" applyNumberFormat="1" applyFont="1" applyFill="1" applyBorder="1" applyAlignment="1">
      <alignment horizontal="center" vertical="center" wrapText="1"/>
    </xf>
    <xf numFmtId="0" fontId="109" fillId="4" borderId="202" xfId="0" applyNumberFormat="1" applyFont="1" applyFill="1" applyBorder="1" applyAlignment="1">
      <alignment horizontal="center" vertical="center" wrapText="1"/>
    </xf>
    <xf numFmtId="0" fontId="109" fillId="4" borderId="3" xfId="0" applyNumberFormat="1" applyFont="1" applyFill="1" applyBorder="1" applyAlignment="1">
      <alignment horizontal="center" vertical="center" wrapText="1"/>
    </xf>
    <xf numFmtId="179" fontId="129" fillId="22" borderId="179" xfId="0" applyNumberFormat="1" applyFont="1" applyFill="1" applyBorder="1" applyAlignment="1">
      <alignment horizontal="center" vertical="center" wrapText="1"/>
    </xf>
    <xf numFmtId="179" fontId="129" fillId="22" borderId="180" xfId="0" applyNumberFormat="1" applyFont="1" applyFill="1" applyBorder="1" applyAlignment="1">
      <alignment horizontal="center" vertical="center"/>
    </xf>
    <xf numFmtId="0" fontId="29" fillId="22" borderId="30" xfId="0" applyFont="1" applyFill="1" applyBorder="1" applyAlignment="1">
      <alignment horizontal="center" vertical="center"/>
    </xf>
    <xf numFmtId="0" fontId="29" fillId="22" borderId="185" xfId="0" applyFont="1" applyFill="1" applyBorder="1" applyAlignment="1">
      <alignment horizontal="center" vertical="center"/>
    </xf>
    <xf numFmtId="0" fontId="29" fillId="22" borderId="124" xfId="0" applyFont="1" applyFill="1" applyBorder="1" applyAlignment="1">
      <alignment horizontal="center" vertical="center"/>
    </xf>
    <xf numFmtId="0" fontId="29" fillId="22" borderId="0" xfId="0" applyFont="1" applyFill="1" applyBorder="1" applyAlignment="1">
      <alignment horizontal="center" vertical="center"/>
    </xf>
    <xf numFmtId="0" fontId="29" fillId="22" borderId="20" xfId="0" applyFont="1" applyFill="1" applyBorder="1" applyAlignment="1">
      <alignment horizontal="center" vertical="center"/>
    </xf>
    <xf numFmtId="0" fontId="29" fillId="22" borderId="40" xfId="0" applyFont="1" applyFill="1" applyBorder="1" applyAlignment="1">
      <alignment horizontal="center" vertical="center"/>
    </xf>
    <xf numFmtId="0" fontId="29" fillId="22" borderId="197" xfId="0" applyFont="1" applyFill="1" applyBorder="1" applyAlignment="1">
      <alignment horizontal="center" vertical="center"/>
    </xf>
    <xf numFmtId="0" fontId="29" fillId="22" borderId="77" xfId="0" applyFont="1" applyFill="1" applyBorder="1" applyAlignment="1">
      <alignment horizontal="center" vertical="center"/>
    </xf>
    <xf numFmtId="0" fontId="29" fillId="22" borderId="202" xfId="0" applyFont="1" applyFill="1" applyBorder="1" applyAlignment="1">
      <alignment horizontal="center" vertical="center"/>
    </xf>
    <xf numFmtId="0" fontId="29" fillId="22" borderId="196" xfId="0" applyFont="1" applyFill="1" applyBorder="1" applyAlignment="1">
      <alignment horizontal="center" vertical="center"/>
    </xf>
    <xf numFmtId="0" fontId="136" fillId="4" borderId="201" xfId="0" applyNumberFormat="1" applyFont="1" applyFill="1" applyBorder="1" applyAlignment="1">
      <alignment horizontal="center" vertical="center" wrapText="1"/>
    </xf>
    <xf numFmtId="0" fontId="136" fillId="4" borderId="28" xfId="0" applyNumberFormat="1" applyFont="1" applyFill="1" applyBorder="1" applyAlignment="1">
      <alignment horizontal="center" vertical="center" wrapText="1"/>
    </xf>
    <xf numFmtId="0" fontId="136" fillId="4" borderId="137" xfId="0" applyNumberFormat="1" applyFont="1" applyFill="1" applyBorder="1" applyAlignment="1">
      <alignment horizontal="center" vertical="center" wrapText="1"/>
    </xf>
    <xf numFmtId="49" fontId="109" fillId="14" borderId="39" xfId="0" applyNumberFormat="1" applyFont="1" applyFill="1" applyBorder="1" applyAlignment="1">
      <alignment horizontal="center" vertical="center" shrinkToFit="1"/>
    </xf>
    <xf numFmtId="49" fontId="109" fillId="14" borderId="23" xfId="0" applyNumberFormat="1" applyFont="1" applyFill="1" applyBorder="1" applyAlignment="1">
      <alignment horizontal="center" vertical="center" shrinkToFit="1"/>
    </xf>
    <xf numFmtId="49" fontId="109" fillId="14" borderId="34" xfId="0" applyNumberFormat="1" applyFont="1" applyFill="1" applyBorder="1" applyAlignment="1">
      <alignment horizontal="center" vertical="center" shrinkToFit="1"/>
    </xf>
    <xf numFmtId="49" fontId="109" fillId="14" borderId="24" xfId="0" applyNumberFormat="1" applyFont="1" applyFill="1" applyBorder="1" applyAlignment="1">
      <alignment horizontal="center" vertical="center" shrinkToFit="1"/>
    </xf>
    <xf numFmtId="0" fontId="43" fillId="20" borderId="5" xfId="0" applyFont="1" applyFill="1" applyBorder="1" applyAlignment="1">
      <alignment horizontal="center" vertical="center"/>
    </xf>
    <xf numFmtId="0" fontId="43" fillId="20" borderId="6" xfId="0" applyFont="1" applyFill="1" applyBorder="1" applyAlignment="1">
      <alignment horizontal="center" vertical="center"/>
    </xf>
    <xf numFmtId="0" fontId="29" fillId="22" borderId="136" xfId="0" applyFont="1" applyFill="1" applyBorder="1" applyAlignment="1">
      <alignment horizontal="center" vertical="center"/>
    </xf>
    <xf numFmtId="0" fontId="29" fillId="22" borderId="103" xfId="0" applyFont="1" applyFill="1" applyBorder="1" applyAlignment="1">
      <alignment horizontal="center" vertical="center"/>
    </xf>
    <xf numFmtId="0" fontId="29" fillId="22" borderId="61" xfId="0" applyFont="1" applyFill="1" applyBorder="1" applyAlignment="1">
      <alignment horizontal="center" vertical="center"/>
    </xf>
    <xf numFmtId="0" fontId="136" fillId="4" borderId="183" xfId="0" applyNumberFormat="1" applyFont="1" applyFill="1" applyBorder="1" applyAlignment="1">
      <alignment horizontal="center" vertical="center" wrapText="1"/>
    </xf>
    <xf numFmtId="0" fontId="29" fillId="22" borderId="195" xfId="0" applyFont="1" applyFill="1" applyBorder="1" applyAlignment="1">
      <alignment horizontal="center" vertical="center"/>
    </xf>
    <xf numFmtId="0" fontId="29" fillId="22" borderId="121" xfId="0" applyFont="1" applyFill="1" applyBorder="1" applyAlignment="1">
      <alignment horizontal="center" vertical="center"/>
    </xf>
    <xf numFmtId="179" fontId="29" fillId="22" borderId="121" xfId="0" applyNumberFormat="1" applyFont="1" applyFill="1" applyBorder="1" applyAlignment="1">
      <alignment horizontal="center" vertical="center"/>
    </xf>
    <xf numFmtId="179" fontId="29" fillId="22" borderId="185" xfId="0" applyNumberFormat="1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4" xfId="0" applyFont="1" applyFill="1" applyBorder="1" applyAlignment="1">
      <alignment horizontal="center" vertical="center"/>
    </xf>
    <xf numFmtId="193" fontId="58" fillId="0" borderId="0" xfId="0" applyNumberFormat="1" applyFont="1" applyFill="1" applyBorder="1" applyAlignment="1">
      <alignment horizontal="center" vertical="center"/>
    </xf>
    <xf numFmtId="2" fontId="57" fillId="13" borderId="131" xfId="0" applyNumberFormat="1" applyFont="1" applyFill="1" applyBorder="1" applyAlignment="1">
      <alignment horizontal="center" vertical="center"/>
    </xf>
    <xf numFmtId="2" fontId="57" fillId="13" borderId="132" xfId="0" applyNumberFormat="1" applyFont="1" applyFill="1" applyBorder="1" applyAlignment="1">
      <alignment horizontal="center" vertical="center"/>
    </xf>
    <xf numFmtId="194" fontId="48" fillId="4" borderId="172" xfId="3" applyNumberFormat="1" applyFont="1" applyFill="1" applyBorder="1" applyAlignment="1">
      <alignment horizontal="center" vertical="center"/>
    </xf>
    <xf numFmtId="0" fontId="48" fillId="4" borderId="173" xfId="3" applyNumberFormat="1" applyFont="1" applyFill="1" applyBorder="1" applyAlignment="1">
      <alignment horizontal="center" vertical="center"/>
    </xf>
    <xf numFmtId="0" fontId="48" fillId="4" borderId="124" xfId="3" applyNumberFormat="1" applyFont="1" applyFill="1" applyBorder="1" applyAlignment="1">
      <alignment horizontal="center" vertical="center"/>
    </xf>
    <xf numFmtId="0" fontId="48" fillId="4" borderId="20" xfId="3" applyNumberFormat="1" applyFont="1" applyFill="1" applyBorder="1" applyAlignment="1">
      <alignment horizontal="center" vertical="center"/>
    </xf>
    <xf numFmtId="0" fontId="48" fillId="4" borderId="125" xfId="3" applyNumberFormat="1" applyFont="1" applyFill="1" applyBorder="1" applyAlignment="1">
      <alignment horizontal="center" vertical="center"/>
    </xf>
    <xf numFmtId="0" fontId="48" fillId="4" borderId="33" xfId="3" applyNumberFormat="1" applyFont="1" applyFill="1" applyBorder="1" applyAlignment="1">
      <alignment horizontal="center" vertical="center"/>
    </xf>
    <xf numFmtId="0" fontId="29" fillId="22" borderId="190" xfId="0" applyFont="1" applyFill="1" applyBorder="1" applyAlignment="1">
      <alignment horizontal="center" vertical="center"/>
    </xf>
    <xf numFmtId="0" fontId="29" fillId="22" borderId="191" xfId="0" applyFont="1" applyFill="1" applyBorder="1" applyAlignment="1">
      <alignment horizontal="center" vertical="center"/>
    </xf>
    <xf numFmtId="0" fontId="29" fillId="22" borderId="192" xfId="0" applyFont="1" applyFill="1" applyBorder="1" applyAlignment="1">
      <alignment horizontal="center" vertical="center"/>
    </xf>
    <xf numFmtId="0" fontId="29" fillId="22" borderId="123" xfId="0" applyFont="1" applyFill="1" applyBorder="1" applyAlignment="1">
      <alignment horizontal="center" vertical="center"/>
    </xf>
    <xf numFmtId="0" fontId="29" fillId="22" borderId="100" xfId="0" applyFont="1" applyFill="1" applyBorder="1" applyAlignment="1">
      <alignment horizontal="center" vertical="center"/>
    </xf>
    <xf numFmtId="0" fontId="29" fillId="22" borderId="122" xfId="0" applyFont="1" applyFill="1" applyBorder="1" applyAlignment="1">
      <alignment horizontal="center" vertical="center"/>
    </xf>
    <xf numFmtId="0" fontId="109" fillId="4" borderId="117" xfId="0" applyNumberFormat="1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left" vertical="center" wrapText="1"/>
    </xf>
    <xf numFmtId="0" fontId="48" fillId="4" borderId="198" xfId="0" applyFont="1" applyFill="1" applyBorder="1" applyAlignment="1">
      <alignment horizontal="center" vertical="center" wrapText="1"/>
    </xf>
    <xf numFmtId="0" fontId="48" fillId="4" borderId="199" xfId="0" applyFont="1" applyFill="1" applyBorder="1" applyAlignment="1">
      <alignment horizontal="center" vertical="center" wrapText="1"/>
    </xf>
    <xf numFmtId="49" fontId="45" fillId="4" borderId="172" xfId="0" applyNumberFormat="1" applyFont="1" applyFill="1" applyBorder="1" applyAlignment="1">
      <alignment horizontal="center" vertical="center" wrapText="1"/>
    </xf>
    <xf numFmtId="0" fontId="45" fillId="4" borderId="200" xfId="0" applyNumberFormat="1" applyFont="1" applyFill="1" applyBorder="1" applyAlignment="1">
      <alignment horizontal="center" vertical="center" wrapText="1"/>
    </xf>
    <xf numFmtId="0" fontId="45" fillId="4" borderId="173" xfId="0" applyNumberFormat="1" applyFont="1" applyFill="1" applyBorder="1" applyAlignment="1">
      <alignment horizontal="center" vertical="center" wrapText="1"/>
    </xf>
    <xf numFmtId="0" fontId="29" fillId="13" borderId="189" xfId="0" applyFont="1" applyFill="1" applyBorder="1" applyAlignment="1">
      <alignment horizontal="center" vertical="center"/>
    </xf>
    <xf numFmtId="0" fontId="57" fillId="13" borderId="141" xfId="0" applyFont="1" applyFill="1" applyBorder="1" applyAlignment="1">
      <alignment horizontal="center" vertical="center"/>
    </xf>
    <xf numFmtId="0" fontId="57" fillId="13" borderId="132" xfId="0" applyFont="1" applyFill="1" applyBorder="1" applyAlignment="1">
      <alignment horizontal="center" vertical="center"/>
    </xf>
    <xf numFmtId="0" fontId="45" fillId="4" borderId="28" xfId="0" applyNumberFormat="1" applyFont="1" applyFill="1" applyBorder="1" applyAlignment="1">
      <alignment horizontal="center" vertical="center"/>
    </xf>
    <xf numFmtId="0" fontId="48" fillId="4" borderId="0" xfId="0" applyNumberFormat="1" applyFont="1" applyFill="1" applyBorder="1" applyAlignment="1">
      <alignment horizontal="center" vertical="center"/>
    </xf>
    <xf numFmtId="0" fontId="48" fillId="4" borderId="20" xfId="0" applyNumberFormat="1" applyFont="1" applyFill="1" applyBorder="1" applyAlignment="1">
      <alignment horizontal="center" vertical="center"/>
    </xf>
    <xf numFmtId="0" fontId="48" fillId="4" borderId="183" xfId="0" applyNumberFormat="1" applyFont="1" applyFill="1" applyBorder="1" applyAlignment="1">
      <alignment horizontal="center" vertical="center"/>
    </xf>
    <xf numFmtId="0" fontId="48" fillId="4" borderId="103" xfId="0" applyNumberFormat="1" applyFont="1" applyFill="1" applyBorder="1" applyAlignment="1">
      <alignment horizontal="center" vertical="center"/>
    </xf>
    <xf numFmtId="0" fontId="48" fillId="4" borderId="61" xfId="0" applyNumberFormat="1" applyFont="1" applyFill="1" applyBorder="1" applyAlignment="1">
      <alignment horizontal="center" vertical="center"/>
    </xf>
    <xf numFmtId="0" fontId="29" fillId="13" borderId="186" xfId="0" applyFont="1" applyFill="1" applyBorder="1" applyAlignment="1">
      <alignment horizontal="center" vertical="center"/>
    </xf>
    <xf numFmtId="0" fontId="57" fillId="13" borderId="187" xfId="0" applyFont="1" applyFill="1" applyBorder="1" applyAlignment="1">
      <alignment horizontal="center" vertical="center"/>
    </xf>
    <xf numFmtId="0" fontId="57" fillId="13" borderId="193" xfId="0" applyFont="1" applyFill="1" applyBorder="1" applyAlignment="1">
      <alignment horizontal="center" vertical="center"/>
    </xf>
    <xf numFmtId="0" fontId="57" fillId="13" borderId="41" xfId="0" applyFont="1" applyFill="1" applyBorder="1" applyAlignment="1">
      <alignment horizontal="center" vertical="center"/>
    </xf>
    <xf numFmtId="0" fontId="29" fillId="13" borderId="131" xfId="0" applyFont="1" applyFill="1" applyBorder="1" applyAlignment="1">
      <alignment horizontal="center" vertical="center" wrapText="1" shrinkToFit="1"/>
    </xf>
    <xf numFmtId="0" fontId="57" fillId="13" borderId="141" xfId="0" applyFont="1" applyFill="1" applyBorder="1" applyAlignment="1">
      <alignment horizontal="center" vertical="center" wrapText="1" shrinkToFit="1"/>
    </xf>
    <xf numFmtId="0" fontId="57" fillId="13" borderId="132" xfId="0" applyFont="1" applyFill="1" applyBorder="1" applyAlignment="1">
      <alignment horizontal="center" vertical="center" wrapText="1" shrinkToFit="1"/>
    </xf>
    <xf numFmtId="0" fontId="48" fillId="6" borderId="170" xfId="0" applyFont="1" applyFill="1" applyBorder="1" applyAlignment="1">
      <alignment horizontal="center" vertical="center" wrapText="1"/>
    </xf>
    <xf numFmtId="0" fontId="48" fillId="6" borderId="194" xfId="0" applyFont="1" applyFill="1" applyBorder="1" applyAlignment="1">
      <alignment horizontal="center" vertical="center" wrapText="1"/>
    </xf>
    <xf numFmtId="0" fontId="48" fillId="6" borderId="171" xfId="0" applyFont="1" applyFill="1" applyBorder="1" applyAlignment="1">
      <alignment horizontal="center" vertical="center" wrapText="1"/>
    </xf>
    <xf numFmtId="49" fontId="45" fillId="4" borderId="170" xfId="0" applyNumberFormat="1" applyFont="1" applyFill="1" applyBorder="1" applyAlignment="1">
      <alignment horizontal="center" vertical="center" wrapText="1"/>
    </xf>
    <xf numFmtId="0" fontId="45" fillId="4" borderId="194" xfId="0" applyNumberFormat="1" applyFont="1" applyFill="1" applyBorder="1" applyAlignment="1">
      <alignment horizontal="center" vertical="center" wrapText="1"/>
    </xf>
    <xf numFmtId="0" fontId="45" fillId="4" borderId="171" xfId="0" applyNumberFormat="1" applyFont="1" applyFill="1" applyBorder="1" applyAlignment="1">
      <alignment horizontal="center" vertical="center" wrapText="1"/>
    </xf>
    <xf numFmtId="0" fontId="48" fillId="4" borderId="117" xfId="0" applyFont="1" applyFill="1" applyBorder="1" applyAlignment="1">
      <alignment horizontal="center" vertical="center" wrapText="1"/>
    </xf>
    <xf numFmtId="0" fontId="48" fillId="4" borderId="32" xfId="0" applyFont="1" applyFill="1" applyBorder="1" applyAlignment="1">
      <alignment horizontal="center" vertical="center" wrapText="1"/>
    </xf>
    <xf numFmtId="0" fontId="45" fillId="19" borderId="182" xfId="0" applyNumberFormat="1" applyFont="1" applyFill="1" applyBorder="1" applyAlignment="1">
      <alignment horizontal="center" vertical="center"/>
    </xf>
    <xf numFmtId="0" fontId="48" fillId="19" borderId="109" xfId="0" applyNumberFormat="1" applyFont="1" applyFill="1" applyBorder="1" applyAlignment="1">
      <alignment horizontal="center" vertical="center"/>
    </xf>
    <xf numFmtId="0" fontId="48" fillId="19" borderId="139" xfId="0" applyNumberFormat="1" applyFont="1" applyFill="1" applyBorder="1" applyAlignment="1">
      <alignment horizontal="center" vertical="center"/>
    </xf>
    <xf numFmtId="0" fontId="48" fillId="4" borderId="92" xfId="0" applyFont="1" applyFill="1" applyBorder="1" applyAlignment="1">
      <alignment horizontal="center" vertical="center" wrapText="1"/>
    </xf>
    <xf numFmtId="0" fontId="48" fillId="4" borderId="68" xfId="0" applyFont="1" applyFill="1" applyBorder="1" applyAlignment="1">
      <alignment horizontal="center" vertical="center" wrapText="1"/>
    </xf>
    <xf numFmtId="49" fontId="45" fillId="4" borderId="68" xfId="0" applyNumberFormat="1" applyFont="1" applyFill="1" applyBorder="1" applyAlignment="1">
      <alignment horizontal="center" vertical="center" wrapText="1"/>
    </xf>
    <xf numFmtId="0" fontId="45" fillId="16" borderId="68" xfId="0" applyNumberFormat="1" applyFont="1" applyFill="1" applyBorder="1" applyAlignment="1">
      <alignment horizontal="center" vertical="center" wrapText="1"/>
    </xf>
    <xf numFmtId="0" fontId="45" fillId="4" borderId="38" xfId="0" applyFont="1" applyFill="1" applyBorder="1" applyAlignment="1">
      <alignment horizontal="center" vertical="center" wrapText="1"/>
    </xf>
    <xf numFmtId="0" fontId="48" fillId="4" borderId="39" xfId="0" applyFont="1" applyFill="1" applyBorder="1" applyAlignment="1">
      <alignment horizontal="center" vertical="center" wrapText="1"/>
    </xf>
    <xf numFmtId="49" fontId="45" fillId="4" borderId="39" xfId="0" applyNumberFormat="1" applyFont="1" applyFill="1" applyBorder="1" applyAlignment="1">
      <alignment horizontal="center" vertical="center" wrapText="1"/>
    </xf>
    <xf numFmtId="0" fontId="45" fillId="16" borderId="39" xfId="0" applyNumberFormat="1" applyFont="1" applyFill="1" applyBorder="1" applyAlignment="1">
      <alignment horizontal="center" vertical="center" wrapText="1"/>
    </xf>
    <xf numFmtId="184" fontId="46" fillId="16" borderId="172" xfId="0" applyNumberFormat="1" applyFont="1" applyFill="1" applyBorder="1" applyAlignment="1">
      <alignment horizontal="center" vertical="center" wrapText="1"/>
    </xf>
    <xf numFmtId="184" fontId="46" fillId="16" borderId="173" xfId="0" applyNumberFormat="1" applyFont="1" applyFill="1" applyBorder="1" applyAlignment="1">
      <alignment horizontal="center" vertical="center" wrapText="1"/>
    </xf>
    <xf numFmtId="184" fontId="46" fillId="16" borderId="6" xfId="0" applyNumberFormat="1" applyFont="1" applyFill="1" applyBorder="1" applyAlignment="1">
      <alignment horizontal="center" vertical="center" wrapText="1"/>
    </xf>
    <xf numFmtId="184" fontId="46" fillId="4" borderId="138" xfId="0" applyNumberFormat="1" applyFont="1" applyFill="1" applyBorder="1" applyAlignment="1">
      <alignment horizontal="center" vertical="center" wrapText="1"/>
    </xf>
    <xf numFmtId="184" fontId="46" fillId="4" borderId="139" xfId="0" applyNumberFormat="1" applyFont="1" applyFill="1" applyBorder="1" applyAlignment="1">
      <alignment horizontal="center" vertical="center" wrapText="1"/>
    </xf>
    <xf numFmtId="176" fontId="46" fillId="4" borderId="172" xfId="0" applyNumberFormat="1" applyFont="1" applyFill="1" applyBorder="1" applyAlignment="1">
      <alignment horizontal="center" vertical="center" wrapText="1"/>
    </xf>
    <xf numFmtId="176" fontId="46" fillId="4" borderId="173" xfId="0" applyNumberFormat="1" applyFont="1" applyFill="1" applyBorder="1" applyAlignment="1">
      <alignment horizontal="center" vertical="center" wrapText="1"/>
    </xf>
    <xf numFmtId="176" fontId="46" fillId="4" borderId="124" xfId="0" applyNumberFormat="1" applyFont="1" applyFill="1" applyBorder="1" applyAlignment="1">
      <alignment horizontal="center" vertical="center" wrapText="1"/>
    </xf>
    <xf numFmtId="176" fontId="46" fillId="4" borderId="20" xfId="0" applyNumberFormat="1" applyFont="1" applyFill="1" applyBorder="1" applyAlignment="1">
      <alignment horizontal="center" vertical="center" wrapText="1"/>
    </xf>
    <xf numFmtId="176" fontId="46" fillId="4" borderId="125" xfId="0" applyNumberFormat="1" applyFont="1" applyFill="1" applyBorder="1" applyAlignment="1">
      <alignment horizontal="center" vertical="center" wrapText="1"/>
    </xf>
    <xf numFmtId="176" fontId="46" fillId="4" borderId="33" xfId="0" applyNumberFormat="1" applyFont="1" applyFill="1" applyBorder="1" applyAlignment="1">
      <alignment horizontal="center" vertical="center" wrapText="1"/>
    </xf>
    <xf numFmtId="0" fontId="61" fillId="7" borderId="131" xfId="0" applyFont="1" applyFill="1" applyBorder="1" applyAlignment="1">
      <alignment horizontal="center" vertical="center" wrapText="1"/>
    </xf>
    <xf numFmtId="0" fontId="61" fillId="7" borderId="132" xfId="0" applyFont="1" applyFill="1" applyBorder="1" applyAlignment="1">
      <alignment horizontal="center" vertical="center" wrapText="1"/>
    </xf>
    <xf numFmtId="179" fontId="48" fillId="15" borderId="172" xfId="0" applyNumberFormat="1" applyFont="1" applyFill="1" applyBorder="1" applyAlignment="1">
      <alignment horizontal="center" vertical="center"/>
    </xf>
    <xf numFmtId="179" fontId="48" fillId="15" borderId="173" xfId="0" applyNumberFormat="1" applyFont="1" applyFill="1" applyBorder="1" applyAlignment="1">
      <alignment horizontal="center" vertical="center"/>
    </xf>
    <xf numFmtId="179" fontId="48" fillId="15" borderId="124" xfId="0" applyNumberFormat="1" applyFont="1" applyFill="1" applyBorder="1" applyAlignment="1">
      <alignment horizontal="center" vertical="center"/>
    </xf>
    <xf numFmtId="179" fontId="48" fillId="15" borderId="20" xfId="0" applyNumberFormat="1" applyFont="1" applyFill="1" applyBorder="1" applyAlignment="1">
      <alignment horizontal="center" vertical="center"/>
    </xf>
    <xf numFmtId="179" fontId="48" fillId="15" borderId="125" xfId="0" applyNumberFormat="1" applyFont="1" applyFill="1" applyBorder="1" applyAlignment="1">
      <alignment horizontal="center" vertical="center"/>
    </xf>
    <xf numFmtId="179" fontId="48" fillId="15" borderId="33" xfId="0" applyNumberFormat="1" applyFont="1" applyFill="1" applyBorder="1" applyAlignment="1">
      <alignment horizontal="center" vertical="center"/>
    </xf>
    <xf numFmtId="49" fontId="29" fillId="13" borderId="123" xfId="0" applyNumberFormat="1" applyFont="1" applyFill="1" applyBorder="1" applyAlignment="1">
      <alignment horizontal="center" vertical="center"/>
    </xf>
    <xf numFmtId="49" fontId="29" fillId="13" borderId="122" xfId="0" applyNumberFormat="1" applyFont="1" applyFill="1" applyBorder="1" applyAlignment="1">
      <alignment horizontal="center" vertical="center"/>
    </xf>
    <xf numFmtId="49" fontId="29" fillId="13" borderId="40" xfId="0" applyNumberFormat="1" applyFont="1" applyFill="1" applyBorder="1" applyAlignment="1">
      <alignment horizontal="center" vertical="center"/>
    </xf>
    <xf numFmtId="49" fontId="29" fillId="13" borderId="77" xfId="0" applyNumberFormat="1" applyFont="1" applyFill="1" applyBorder="1" applyAlignment="1">
      <alignment horizontal="center" vertical="center"/>
    </xf>
    <xf numFmtId="49" fontId="48" fillId="16" borderId="170" xfId="0" applyNumberFormat="1" applyFont="1" applyFill="1" applyBorder="1" applyAlignment="1">
      <alignment horizontal="center" vertical="center" wrapText="1"/>
    </xf>
    <xf numFmtId="0" fontId="48" fillId="16" borderId="171" xfId="0" applyFont="1" applyFill="1" applyBorder="1" applyAlignment="1">
      <alignment horizontal="center" vertical="center" wrapText="1"/>
    </xf>
    <xf numFmtId="0" fontId="45" fillId="16" borderId="28" xfId="0" applyNumberFormat="1" applyFont="1" applyFill="1" applyBorder="1" applyAlignment="1">
      <alignment horizontal="center" vertical="center"/>
    </xf>
    <xf numFmtId="0" fontId="48" fillId="16" borderId="0" xfId="0" applyNumberFormat="1" applyFont="1" applyFill="1" applyBorder="1" applyAlignment="1">
      <alignment horizontal="center" vertical="center"/>
    </xf>
    <xf numFmtId="0" fontId="48" fillId="16" borderId="20" xfId="0" applyNumberFormat="1" applyFont="1" applyFill="1" applyBorder="1" applyAlignment="1">
      <alignment horizontal="center" vertical="center"/>
    </xf>
    <xf numFmtId="0" fontId="48" fillId="16" borderId="183" xfId="0" applyNumberFormat="1" applyFont="1" applyFill="1" applyBorder="1" applyAlignment="1">
      <alignment horizontal="center" vertical="center"/>
    </xf>
    <xf numFmtId="0" fontId="48" fillId="16" borderId="103" xfId="0" applyNumberFormat="1" applyFont="1" applyFill="1" applyBorder="1" applyAlignment="1">
      <alignment horizontal="center" vertical="center"/>
    </xf>
    <xf numFmtId="0" fontId="48" fillId="16" borderId="61" xfId="0" applyNumberFormat="1" applyFont="1" applyFill="1" applyBorder="1" applyAlignment="1">
      <alignment horizontal="center" vertical="center"/>
    </xf>
    <xf numFmtId="0" fontId="57" fillId="13" borderId="188" xfId="0" applyFont="1" applyFill="1" applyBorder="1" applyAlignment="1">
      <alignment horizontal="center" vertical="center"/>
    </xf>
    <xf numFmtId="0" fontId="57" fillId="13" borderId="25" xfId="0" applyFont="1" applyFill="1" applyBorder="1" applyAlignment="1">
      <alignment horizontal="center" vertical="center"/>
    </xf>
    <xf numFmtId="0" fontId="48" fillId="15" borderId="170" xfId="0" applyFont="1" applyFill="1" applyBorder="1" applyAlignment="1">
      <alignment horizontal="center" vertical="center"/>
    </xf>
    <xf numFmtId="0" fontId="48" fillId="15" borderId="171" xfId="0" applyFont="1" applyFill="1" applyBorder="1" applyAlignment="1">
      <alignment horizontal="center" vertical="center"/>
    </xf>
    <xf numFmtId="0" fontId="46" fillId="13" borderId="131" xfId="0" applyFont="1" applyFill="1" applyBorder="1" applyAlignment="1">
      <alignment horizontal="center" vertical="center" wrapText="1"/>
    </xf>
    <xf numFmtId="0" fontId="46" fillId="13" borderId="132" xfId="0" applyFont="1" applyFill="1" applyBorder="1" applyAlignment="1">
      <alignment horizontal="center" vertical="center" wrapText="1"/>
    </xf>
    <xf numFmtId="179" fontId="48" fillId="0" borderId="174" xfId="0" applyNumberFormat="1" applyFont="1" applyBorder="1" applyAlignment="1">
      <alignment horizontal="center" vertical="center"/>
    </xf>
    <xf numFmtId="179" fontId="48" fillId="0" borderId="175" xfId="0" applyNumberFormat="1" applyFont="1" applyBorder="1" applyAlignment="1">
      <alignment horizontal="center" vertical="center"/>
    </xf>
    <xf numFmtId="179" fontId="48" fillId="0" borderId="29" xfId="0" applyNumberFormat="1" applyFont="1" applyBorder="1" applyAlignment="1">
      <alignment horizontal="center" vertical="center"/>
    </xf>
    <xf numFmtId="0" fontId="57" fillId="13" borderId="176" xfId="0" applyFont="1" applyFill="1" applyBorder="1" applyAlignment="1">
      <alignment horizontal="center" vertical="center"/>
    </xf>
    <xf numFmtId="0" fontId="57" fillId="13" borderId="177" xfId="0" applyFont="1" applyFill="1" applyBorder="1" applyAlignment="1">
      <alignment horizontal="center" vertical="center"/>
    </xf>
    <xf numFmtId="0" fontId="46" fillId="13" borderId="123" xfId="0" applyFont="1" applyFill="1" applyBorder="1" applyAlignment="1">
      <alignment horizontal="center" vertical="center" wrapText="1"/>
    </xf>
    <xf numFmtId="0" fontId="46" fillId="13" borderId="122" xfId="0" applyFont="1" applyFill="1" applyBorder="1" applyAlignment="1">
      <alignment horizontal="center" vertical="center" wrapText="1"/>
    </xf>
    <xf numFmtId="0" fontId="46" fillId="13" borderId="40" xfId="0" applyFont="1" applyFill="1" applyBorder="1" applyAlignment="1">
      <alignment horizontal="center" vertical="center" wrapText="1"/>
    </xf>
    <xf numFmtId="0" fontId="46" fillId="13" borderId="77" xfId="0" applyFont="1" applyFill="1" applyBorder="1" applyAlignment="1">
      <alignment horizontal="center" vertical="center" wrapText="1"/>
    </xf>
    <xf numFmtId="0" fontId="61" fillId="7" borderId="123" xfId="0" applyFont="1" applyFill="1" applyBorder="1" applyAlignment="1">
      <alignment horizontal="center" vertical="center" wrapText="1"/>
    </xf>
    <xf numFmtId="0" fontId="61" fillId="7" borderId="122" xfId="0" applyFont="1" applyFill="1" applyBorder="1" applyAlignment="1">
      <alignment horizontal="center" vertical="center" wrapText="1"/>
    </xf>
    <xf numFmtId="0" fontId="61" fillId="7" borderId="40" xfId="0" applyFont="1" applyFill="1" applyBorder="1" applyAlignment="1">
      <alignment horizontal="center" vertical="center" wrapText="1"/>
    </xf>
    <xf numFmtId="0" fontId="61" fillId="7" borderId="77" xfId="0" applyFont="1" applyFill="1" applyBorder="1" applyAlignment="1">
      <alignment horizontal="center" vertical="center" wrapText="1"/>
    </xf>
    <xf numFmtId="0" fontId="46" fillId="16" borderId="170" xfId="0" applyFont="1" applyFill="1" applyBorder="1" applyAlignment="1">
      <alignment horizontal="center" vertical="center" shrinkToFit="1"/>
    </xf>
    <xf numFmtId="0" fontId="46" fillId="16" borderId="171" xfId="0" applyFont="1" applyFill="1" applyBorder="1" applyAlignment="1">
      <alignment horizontal="center" vertical="center" shrinkToFit="1"/>
    </xf>
    <xf numFmtId="0" fontId="57" fillId="13" borderId="178" xfId="0" applyFont="1" applyFill="1" applyBorder="1" applyAlignment="1">
      <alignment horizontal="center" vertical="center"/>
    </xf>
    <xf numFmtId="0" fontId="48" fillId="0" borderId="174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6" fillId="16" borderId="133" xfId="0" applyFont="1" applyFill="1" applyBorder="1" applyAlignment="1">
      <alignment horizontal="center" vertical="center" shrinkToFit="1"/>
    </xf>
    <xf numFmtId="0" fontId="46" fillId="16" borderId="135" xfId="0" applyFont="1" applyFill="1" applyBorder="1" applyAlignment="1">
      <alignment horizontal="center" vertical="center" shrinkToFit="1"/>
    </xf>
    <xf numFmtId="0" fontId="46" fillId="16" borderId="138" xfId="0" applyFont="1" applyFill="1" applyBorder="1" applyAlignment="1">
      <alignment horizontal="center" vertical="center" shrinkToFit="1"/>
    </xf>
    <xf numFmtId="0" fontId="46" fillId="16" borderId="139" xfId="0" applyFont="1" applyFill="1" applyBorder="1" applyAlignment="1">
      <alignment horizontal="center" vertical="center" shrinkToFit="1"/>
    </xf>
    <xf numFmtId="176" fontId="46" fillId="16" borderId="170" xfId="0" applyNumberFormat="1" applyFont="1" applyFill="1" applyBorder="1" applyAlignment="1">
      <alignment horizontal="center" vertical="center" shrinkToFit="1"/>
    </xf>
    <xf numFmtId="176" fontId="46" fillId="16" borderId="171" xfId="0" applyNumberFormat="1" applyFont="1" applyFill="1" applyBorder="1" applyAlignment="1">
      <alignment horizontal="center" vertical="center" shrinkToFit="1"/>
    </xf>
    <xf numFmtId="179" fontId="48" fillId="15" borderId="6" xfId="0" applyNumberFormat="1" applyFont="1" applyFill="1" applyBorder="1" applyAlignment="1">
      <alignment horizontal="center" vertical="center"/>
    </xf>
    <xf numFmtId="179" fontId="48" fillId="15" borderId="138" xfId="0" applyNumberFormat="1" applyFont="1" applyFill="1" applyBorder="1" applyAlignment="1">
      <alignment horizontal="center" vertical="center"/>
    </xf>
    <xf numFmtId="179" fontId="48" fillId="15" borderId="139" xfId="0" applyNumberFormat="1" applyFont="1" applyFill="1" applyBorder="1" applyAlignment="1">
      <alignment horizontal="center" vertical="center"/>
    </xf>
    <xf numFmtId="0" fontId="48" fillId="6" borderId="133" xfId="0" applyFont="1" applyFill="1" applyBorder="1" applyAlignment="1">
      <alignment horizontal="center" vertical="center" wrapText="1"/>
    </xf>
    <xf numFmtId="0" fontId="48" fillId="6" borderId="134" xfId="0" applyFont="1" applyFill="1" applyBorder="1" applyAlignment="1">
      <alignment horizontal="center" vertical="center" wrapText="1"/>
    </xf>
    <xf numFmtId="0" fontId="48" fillId="6" borderId="138" xfId="0" applyFont="1" applyFill="1" applyBorder="1" applyAlignment="1">
      <alignment horizontal="center" vertical="center" wrapText="1"/>
    </xf>
    <xf numFmtId="0" fontId="48" fillId="6" borderId="109" xfId="0" applyFont="1" applyFill="1" applyBorder="1" applyAlignment="1">
      <alignment horizontal="center" vertical="center" wrapText="1"/>
    </xf>
    <xf numFmtId="49" fontId="48" fillId="16" borderId="133" xfId="0" applyNumberFormat="1" applyFont="1" applyFill="1" applyBorder="1" applyAlignment="1">
      <alignment horizontal="center" vertical="center" wrapText="1"/>
    </xf>
    <xf numFmtId="0" fontId="48" fillId="16" borderId="135" xfId="0" applyFont="1" applyFill="1" applyBorder="1" applyAlignment="1">
      <alignment horizontal="center" vertical="center" wrapText="1"/>
    </xf>
    <xf numFmtId="49" fontId="48" fillId="16" borderId="138" xfId="0" applyNumberFormat="1" applyFont="1" applyFill="1" applyBorder="1" applyAlignment="1">
      <alignment horizontal="center" vertical="center" wrapText="1"/>
    </xf>
    <xf numFmtId="0" fontId="48" fillId="16" borderId="139" xfId="0" applyFont="1" applyFill="1" applyBorder="1" applyAlignment="1">
      <alignment horizontal="center" vertical="center" wrapText="1"/>
    </xf>
    <xf numFmtId="0" fontId="48" fillId="15" borderId="133" xfId="0" applyFont="1" applyFill="1" applyBorder="1" applyAlignment="1">
      <alignment horizontal="center" vertical="center"/>
    </xf>
    <xf numFmtId="0" fontId="48" fillId="15" borderId="135" xfId="0" applyFont="1" applyFill="1" applyBorder="1" applyAlignment="1">
      <alignment horizontal="center" vertical="center"/>
    </xf>
    <xf numFmtId="0" fontId="48" fillId="15" borderId="138" xfId="0" applyFont="1" applyFill="1" applyBorder="1" applyAlignment="1">
      <alignment horizontal="center" vertical="center"/>
    </xf>
    <xf numFmtId="0" fontId="48" fillId="15" borderId="139" xfId="0" applyFont="1" applyFill="1" applyBorder="1" applyAlignment="1">
      <alignment horizontal="center" vertical="center"/>
    </xf>
    <xf numFmtId="41" fontId="141" fillId="17" borderId="10" xfId="3" applyFont="1" applyFill="1" applyBorder="1" applyAlignment="1">
      <alignment vertical="center" wrapText="1"/>
    </xf>
    <xf numFmtId="41" fontId="141" fillId="17" borderId="203" xfId="3" applyFont="1" applyFill="1" applyBorder="1" applyAlignment="1">
      <alignment vertical="center" wrapText="1"/>
    </xf>
    <xf numFmtId="0" fontId="121" fillId="6" borderId="10" xfId="0" applyFont="1" applyFill="1" applyBorder="1" applyAlignment="1">
      <alignment horizontal="left" vertical="center" wrapText="1"/>
    </xf>
    <xf numFmtId="0" fontId="121" fillId="6" borderId="81" xfId="0" applyFont="1" applyFill="1" applyBorder="1" applyAlignment="1">
      <alignment horizontal="left" vertical="center" wrapText="1"/>
    </xf>
    <xf numFmtId="0" fontId="121" fillId="6" borderId="203" xfId="0" applyFont="1" applyFill="1" applyBorder="1" applyAlignment="1">
      <alignment horizontal="left" vertical="center" wrapText="1"/>
    </xf>
    <xf numFmtId="0" fontId="121" fillId="6" borderId="208" xfId="0" applyFont="1" applyFill="1" applyBorder="1" applyAlignment="1">
      <alignment horizontal="left" vertical="center" wrapText="1"/>
    </xf>
    <xf numFmtId="0" fontId="121" fillId="6" borderId="89" xfId="0" applyFont="1" applyFill="1" applyBorder="1" applyAlignment="1">
      <alignment horizontal="left" vertical="center" wrapText="1"/>
    </xf>
    <xf numFmtId="0" fontId="140" fillId="0" borderId="14" xfId="0" applyFont="1" applyBorder="1" applyAlignment="1">
      <alignment horizontal="center" wrapText="1"/>
    </xf>
    <xf numFmtId="0" fontId="121" fillId="0" borderId="58" xfId="0" applyFont="1" applyBorder="1" applyAlignment="1">
      <alignment horizontal="center" wrapText="1"/>
    </xf>
    <xf numFmtId="0" fontId="121" fillId="0" borderId="58" xfId="0" applyFont="1" applyBorder="1" applyAlignment="1">
      <alignment horizontal="center" vertical="top" wrapText="1"/>
    </xf>
    <xf numFmtId="0" fontId="121" fillId="0" borderId="15" xfId="0" applyFont="1" applyBorder="1" applyAlignment="1">
      <alignment horizontal="center" vertical="top" wrapText="1"/>
    </xf>
    <xf numFmtId="0" fontId="121" fillId="0" borderId="11" xfId="0" applyFont="1" applyBorder="1" applyAlignment="1">
      <alignment horizontal="center" wrapText="1"/>
    </xf>
    <xf numFmtId="0" fontId="121" fillId="0" borderId="144" xfId="0" applyFont="1" applyBorder="1" applyAlignment="1">
      <alignment horizontal="center" wrapText="1"/>
    </xf>
    <xf numFmtId="0" fontId="121" fillId="0" borderId="144" xfId="0" applyFont="1" applyBorder="1" applyAlignment="1">
      <alignment horizontal="center" vertical="top" wrapText="1"/>
    </xf>
    <xf numFmtId="0" fontId="121" fillId="0" borderId="12" xfId="0" applyFont="1" applyBorder="1" applyAlignment="1">
      <alignment horizontal="center" vertical="top" wrapText="1"/>
    </xf>
    <xf numFmtId="0" fontId="121" fillId="0" borderId="14" xfId="0" applyFont="1" applyBorder="1" applyAlignment="1">
      <alignment horizontal="center" wrapText="1"/>
    </xf>
    <xf numFmtId="0" fontId="121" fillId="6" borderId="10" xfId="0" applyFont="1" applyFill="1" applyBorder="1" applyAlignment="1">
      <alignment horizontal="center" vertical="center" wrapText="1"/>
    </xf>
    <xf numFmtId="0" fontId="121" fillId="6" borderId="81" xfId="0" applyFont="1" applyFill="1" applyBorder="1" applyAlignment="1">
      <alignment horizontal="center" vertical="center" wrapText="1"/>
    </xf>
    <xf numFmtId="41" fontId="141" fillId="17" borderId="114" xfId="3" applyFont="1" applyFill="1" applyBorder="1" applyAlignment="1">
      <alignment horizontal="left" vertical="center" wrapText="1"/>
    </xf>
    <xf numFmtId="41" fontId="141" fillId="17" borderId="209" xfId="3" applyFont="1" applyFill="1" applyBorder="1" applyAlignment="1">
      <alignment horizontal="left" vertical="center" wrapText="1"/>
    </xf>
    <xf numFmtId="0" fontId="121" fillId="0" borderId="28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21" fillId="0" borderId="137" xfId="0" applyFont="1" applyBorder="1" applyAlignment="1">
      <alignment horizontal="center" vertical="center" wrapText="1"/>
    </xf>
    <xf numFmtId="0" fontId="118" fillId="0" borderId="113" xfId="0" applyFont="1" applyBorder="1"/>
    <xf numFmtId="0" fontId="121" fillId="0" borderId="113" xfId="0" applyFont="1" applyBorder="1" applyAlignment="1">
      <alignment horizontal="center" vertical="center" wrapText="1"/>
    </xf>
    <xf numFmtId="0" fontId="121" fillId="6" borderId="12" xfId="0" applyFont="1" applyFill="1" applyBorder="1" applyAlignment="1">
      <alignment horizontal="center" vertical="center" wrapText="1"/>
    </xf>
    <xf numFmtId="0" fontId="121" fillId="6" borderId="104" xfId="0" applyFont="1" applyFill="1" applyBorder="1" applyAlignment="1">
      <alignment horizontal="center" vertical="center" wrapText="1"/>
    </xf>
    <xf numFmtId="0" fontId="121" fillId="0" borderId="219" xfId="0" applyFont="1" applyBorder="1" applyAlignment="1">
      <alignment horizontal="center" vertical="center" wrapText="1"/>
    </xf>
    <xf numFmtId="0" fontId="121" fillId="0" borderId="211" xfId="0" applyFont="1" applyBorder="1" applyAlignment="1">
      <alignment horizontal="center" vertical="center" wrapText="1"/>
    </xf>
    <xf numFmtId="0" fontId="121" fillId="0" borderId="220" xfId="0" applyFont="1" applyBorder="1" applyAlignment="1">
      <alignment horizontal="center" vertical="center" wrapText="1"/>
    </xf>
    <xf numFmtId="0" fontId="121" fillId="6" borderId="45" xfId="0" applyFont="1" applyFill="1" applyBorder="1" applyAlignment="1">
      <alignment horizontal="center" vertical="center" wrapText="1"/>
    </xf>
    <xf numFmtId="0" fontId="121" fillId="6" borderId="203" xfId="0" applyFont="1" applyFill="1" applyBorder="1" applyAlignment="1">
      <alignment horizontal="center" vertical="center" wrapText="1"/>
    </xf>
    <xf numFmtId="0" fontId="121" fillId="0" borderId="162" xfId="0" applyFont="1" applyBorder="1" applyAlignment="1">
      <alignment horizontal="center" vertical="center" wrapText="1"/>
    </xf>
    <xf numFmtId="0" fontId="121" fillId="0" borderId="145" xfId="0" applyFont="1" applyBorder="1" applyAlignment="1">
      <alignment horizontal="center" vertical="center" wrapText="1"/>
    </xf>
    <xf numFmtId="0" fontId="121" fillId="0" borderId="53" xfId="0" applyFont="1" applyBorder="1" applyAlignment="1">
      <alignment horizontal="center" vertical="center" wrapText="1"/>
    </xf>
    <xf numFmtId="41" fontId="121" fillId="4" borderId="10" xfId="0" applyNumberFormat="1" applyFont="1" applyFill="1" applyBorder="1" applyAlignment="1">
      <alignment vertical="center" wrapText="1"/>
    </xf>
    <xf numFmtId="41" fontId="121" fillId="4" borderId="203" xfId="0" applyNumberFormat="1" applyFont="1" applyFill="1" applyBorder="1" applyAlignment="1">
      <alignment vertical="center" wrapText="1"/>
    </xf>
    <xf numFmtId="41" fontId="121" fillId="4" borderId="204" xfId="0" applyNumberFormat="1" applyFont="1" applyFill="1" applyBorder="1" applyAlignment="1">
      <alignment vertical="center" wrapText="1"/>
    </xf>
    <xf numFmtId="41" fontId="140" fillId="4" borderId="205" xfId="0" applyNumberFormat="1" applyFont="1" applyFill="1" applyBorder="1" applyAlignment="1">
      <alignment vertical="center" wrapText="1"/>
    </xf>
    <xf numFmtId="41" fontId="140" fillId="4" borderId="206" xfId="0" applyNumberFormat="1" applyFont="1" applyFill="1" applyBorder="1" applyAlignment="1">
      <alignment vertical="center" wrapText="1"/>
    </xf>
    <xf numFmtId="0" fontId="121" fillId="0" borderId="23" xfId="0" applyFont="1" applyBorder="1" applyAlignment="1">
      <alignment horizontal="center" vertical="center" wrapText="1"/>
    </xf>
    <xf numFmtId="0" fontId="121" fillId="0" borderId="34" xfId="0" applyFont="1" applyBorder="1" applyAlignment="1">
      <alignment horizontal="center" vertical="center" wrapText="1"/>
    </xf>
    <xf numFmtId="0" fontId="121" fillId="0" borderId="24" xfId="0" applyFont="1" applyBorder="1" applyAlignment="1">
      <alignment horizontal="center" vertical="center" wrapText="1"/>
    </xf>
    <xf numFmtId="186" fontId="29" fillId="13" borderId="190" xfId="0" applyNumberFormat="1" applyFont="1" applyFill="1" applyBorder="1" applyAlignment="1">
      <alignment horizontal="center" vertical="center"/>
    </xf>
    <xf numFmtId="186" fontId="29" fillId="13" borderId="218" xfId="0" applyNumberFormat="1" applyFont="1" applyFill="1" applyBorder="1" applyAlignment="1">
      <alignment horizontal="center" vertical="center"/>
    </xf>
    <xf numFmtId="41" fontId="141" fillId="13" borderId="122" xfId="3" applyFont="1" applyFill="1" applyBorder="1" applyAlignment="1">
      <alignment horizontal="center" vertical="center" wrapText="1"/>
    </xf>
    <xf numFmtId="41" fontId="141" fillId="13" borderId="77" xfId="3" applyFont="1" applyFill="1" applyBorder="1" applyAlignment="1">
      <alignment horizontal="center" vertical="center" wrapText="1"/>
    </xf>
    <xf numFmtId="0" fontId="141" fillId="13" borderId="212" xfId="0" applyFont="1" applyFill="1" applyBorder="1" applyAlignment="1">
      <alignment horizontal="center" vertical="center" wrapText="1"/>
    </xf>
    <xf numFmtId="0" fontId="141" fillId="13" borderId="115" xfId="0" applyFont="1" applyFill="1" applyBorder="1" applyAlignment="1">
      <alignment horizontal="center" vertical="center" wrapText="1"/>
    </xf>
    <xf numFmtId="0" fontId="141" fillId="13" borderId="213" xfId="0" applyFont="1" applyFill="1" applyBorder="1" applyAlignment="1">
      <alignment horizontal="center" vertical="center" wrapText="1"/>
    </xf>
    <xf numFmtId="0" fontId="141" fillId="13" borderId="214" xfId="0" applyFont="1" applyFill="1" applyBorder="1" applyAlignment="1">
      <alignment horizontal="center" vertical="center" wrapText="1"/>
    </xf>
    <xf numFmtId="0" fontId="141" fillId="13" borderId="105" xfId="0" applyFont="1" applyFill="1" applyBorder="1" applyAlignment="1">
      <alignment horizontal="center" vertical="center" wrapText="1"/>
    </xf>
    <xf numFmtId="0" fontId="141" fillId="13" borderId="215" xfId="0" applyFont="1" applyFill="1" applyBorder="1" applyAlignment="1">
      <alignment horizontal="center" vertical="center" wrapText="1"/>
    </xf>
    <xf numFmtId="41" fontId="122" fillId="13" borderId="212" xfId="3" applyFont="1" applyFill="1" applyBorder="1" applyAlignment="1">
      <alignment horizontal="center" vertical="center" wrapText="1"/>
    </xf>
    <xf numFmtId="41" fontId="122" fillId="13" borderId="115" xfId="3" applyFont="1" applyFill="1" applyBorder="1" applyAlignment="1">
      <alignment horizontal="center" vertical="center"/>
    </xf>
    <xf numFmtId="179" fontId="122" fillId="13" borderId="212" xfId="0" applyNumberFormat="1" applyFont="1" applyFill="1" applyBorder="1" applyAlignment="1">
      <alignment horizontal="center" vertical="center" wrapText="1" shrinkToFit="1"/>
    </xf>
    <xf numFmtId="179" fontId="122" fillId="13" borderId="115" xfId="0" applyNumberFormat="1" applyFont="1" applyFill="1" applyBorder="1" applyAlignment="1">
      <alignment horizontal="center" vertical="center" shrinkToFit="1"/>
    </xf>
    <xf numFmtId="41" fontId="141" fillId="13" borderId="212" xfId="3" applyFont="1" applyFill="1" applyBorder="1" applyAlignment="1">
      <alignment horizontal="center" vertical="center" wrapText="1"/>
    </xf>
    <xf numFmtId="41" fontId="141" fillId="13" borderId="115" xfId="3" applyFont="1" applyFill="1" applyBorder="1" applyAlignment="1">
      <alignment horizontal="center" vertical="center" wrapText="1"/>
    </xf>
    <xf numFmtId="179" fontId="122" fillId="13" borderId="216" xfId="0" applyNumberFormat="1" applyFont="1" applyFill="1" applyBorder="1" applyAlignment="1">
      <alignment horizontal="center" vertical="center" wrapText="1"/>
    </xf>
    <xf numFmtId="179" fontId="122" fillId="13" borderId="191" xfId="0" applyNumberFormat="1" applyFont="1" applyFill="1" applyBorder="1" applyAlignment="1">
      <alignment horizontal="center" vertical="center" wrapText="1"/>
    </xf>
    <xf numFmtId="179" fontId="122" fillId="13" borderId="217" xfId="0" applyNumberFormat="1" applyFont="1" applyFill="1" applyBorder="1" applyAlignment="1">
      <alignment horizontal="center" vertical="center" wrapText="1"/>
    </xf>
    <xf numFmtId="0" fontId="122" fillId="13" borderId="216" xfId="0" applyFont="1" applyFill="1" applyBorder="1" applyAlignment="1">
      <alignment horizontal="center" vertical="center"/>
    </xf>
    <xf numFmtId="0" fontId="122" fillId="13" borderId="191" xfId="0" applyFont="1" applyFill="1" applyBorder="1" applyAlignment="1">
      <alignment horizontal="center" vertical="center"/>
    </xf>
    <xf numFmtId="0" fontId="122" fillId="13" borderId="217" xfId="0" applyFont="1" applyFill="1" applyBorder="1" applyAlignment="1">
      <alignment horizontal="center" vertical="center"/>
    </xf>
    <xf numFmtId="176" fontId="42" fillId="7" borderId="199" xfId="0" applyNumberFormat="1" applyFont="1" applyFill="1" applyBorder="1" applyAlignment="1">
      <alignment horizontal="center" vertical="center"/>
    </xf>
    <xf numFmtId="176" fontId="42" fillId="7" borderId="30" xfId="0" applyNumberFormat="1" applyFont="1" applyFill="1" applyBorder="1" applyAlignment="1">
      <alignment horizontal="center" vertical="center"/>
    </xf>
    <xf numFmtId="176" fontId="42" fillId="7" borderId="32" xfId="0" applyNumberFormat="1" applyFont="1" applyFill="1" applyBorder="1" applyAlignment="1">
      <alignment horizontal="center" vertical="center"/>
    </xf>
    <xf numFmtId="0" fontId="45" fillId="4" borderId="221" xfId="0" applyNumberFormat="1" applyFont="1" applyFill="1" applyBorder="1" applyAlignment="1">
      <alignment horizontal="center" vertical="center"/>
    </xf>
    <xf numFmtId="0" fontId="45" fillId="4" borderId="200" xfId="0" applyNumberFormat="1" applyFont="1" applyFill="1" applyBorder="1" applyAlignment="1">
      <alignment horizontal="center" vertical="center"/>
    </xf>
    <xf numFmtId="0" fontId="45" fillId="4" borderId="173" xfId="0" applyNumberFormat="1" applyFont="1" applyFill="1" applyBorder="1" applyAlignment="1">
      <alignment horizontal="center" vertical="center"/>
    </xf>
    <xf numFmtId="0" fontId="45" fillId="4" borderId="183" xfId="0" applyNumberFormat="1" applyFont="1" applyFill="1" applyBorder="1" applyAlignment="1">
      <alignment horizontal="center" vertical="center"/>
    </xf>
    <xf numFmtId="0" fontId="45" fillId="4" borderId="103" xfId="0" applyNumberFormat="1" applyFont="1" applyFill="1" applyBorder="1" applyAlignment="1">
      <alignment horizontal="center" vertical="center"/>
    </xf>
    <xf numFmtId="0" fontId="45" fillId="4" borderId="61" xfId="0" applyNumberFormat="1" applyFont="1" applyFill="1" applyBorder="1" applyAlignment="1">
      <alignment horizontal="center" vertical="center"/>
    </xf>
    <xf numFmtId="0" fontId="29" fillId="13" borderId="141" xfId="0" applyFont="1" applyFill="1" applyBorder="1" applyAlignment="1">
      <alignment horizontal="center" vertical="center"/>
    </xf>
    <xf numFmtId="0" fontId="45" fillId="19" borderId="109" xfId="0" applyNumberFormat="1" applyFont="1" applyFill="1" applyBorder="1" applyAlignment="1">
      <alignment horizontal="center" vertical="center"/>
    </xf>
    <xf numFmtId="0" fontId="45" fillId="19" borderId="139" xfId="0" applyNumberFormat="1" applyFont="1" applyFill="1" applyBorder="1" applyAlignment="1">
      <alignment horizontal="center" vertical="center"/>
    </xf>
    <xf numFmtId="0" fontId="141" fillId="13" borderId="142" xfId="0" applyFont="1" applyFill="1" applyBorder="1" applyAlignment="1">
      <alignment horizontal="center" vertical="center" wrapText="1"/>
    </xf>
    <xf numFmtId="0" fontId="141" fillId="13" borderId="100" xfId="0" applyFont="1" applyFill="1" applyBorder="1" applyAlignment="1">
      <alignment horizontal="center" vertical="center" wrapText="1"/>
    </xf>
    <xf numFmtId="0" fontId="141" fillId="13" borderId="28" xfId="0" applyFont="1" applyFill="1" applyBorder="1" applyAlignment="1">
      <alignment horizontal="center" vertical="center" wrapText="1"/>
    </xf>
    <xf numFmtId="0" fontId="141" fillId="13" borderId="0" xfId="0" applyFont="1" applyFill="1" applyBorder="1" applyAlignment="1">
      <alignment horizontal="center" vertical="center" wrapText="1"/>
    </xf>
    <xf numFmtId="2" fontId="29" fillId="13" borderId="141" xfId="0" applyNumberFormat="1" applyFont="1" applyFill="1" applyBorder="1" applyAlignment="1">
      <alignment horizontal="center" vertical="center" wrapText="1"/>
    </xf>
    <xf numFmtId="203" fontId="48" fillId="4" borderId="172" xfId="3" applyNumberFormat="1" applyFont="1" applyFill="1" applyBorder="1" applyAlignment="1">
      <alignment horizontal="center" vertical="center"/>
    </xf>
    <xf numFmtId="203" fontId="48" fillId="4" borderId="173" xfId="3" applyNumberFormat="1" applyFont="1" applyFill="1" applyBorder="1" applyAlignment="1">
      <alignment horizontal="center" vertical="center"/>
    </xf>
    <xf numFmtId="203" fontId="48" fillId="4" borderId="124" xfId="3" applyNumberFormat="1" applyFont="1" applyFill="1" applyBorder="1" applyAlignment="1">
      <alignment horizontal="center" vertical="center"/>
    </xf>
    <xf numFmtId="203" fontId="48" fillId="4" borderId="20" xfId="3" applyNumberFormat="1" applyFont="1" applyFill="1" applyBorder="1" applyAlignment="1">
      <alignment horizontal="center" vertical="center"/>
    </xf>
    <xf numFmtId="203" fontId="48" fillId="4" borderId="125" xfId="3" applyNumberFormat="1" applyFont="1" applyFill="1" applyBorder="1" applyAlignment="1">
      <alignment horizontal="center" vertical="center"/>
    </xf>
    <xf numFmtId="203" fontId="48" fillId="4" borderId="33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9" fillId="13" borderId="141" xfId="0" applyFont="1" applyFill="1" applyBorder="1" applyAlignment="1">
      <alignment horizontal="center" vertical="center" wrapText="1" shrinkToFit="1"/>
    </xf>
    <xf numFmtId="0" fontId="29" fillId="13" borderId="132" xfId="0" applyFont="1" applyFill="1" applyBorder="1" applyAlignment="1">
      <alignment horizontal="center" vertical="center" wrapText="1" shrinkToFit="1"/>
    </xf>
    <xf numFmtId="0" fontId="29" fillId="13" borderId="5" xfId="0" applyFont="1" applyFill="1" applyBorder="1" applyAlignment="1">
      <alignment horizontal="center" vertical="center"/>
    </xf>
    <xf numFmtId="176" fontId="46" fillId="4" borderId="199" xfId="0" applyNumberFormat="1" applyFont="1" applyFill="1" applyBorder="1" applyAlignment="1">
      <alignment horizontal="center" vertical="center" wrapText="1"/>
    </xf>
    <xf numFmtId="176" fontId="46" fillId="4" borderId="30" xfId="0" applyNumberFormat="1" applyFont="1" applyFill="1" applyBorder="1" applyAlignment="1">
      <alignment horizontal="center" vertical="center" wrapText="1"/>
    </xf>
    <xf numFmtId="176" fontId="46" fillId="4" borderId="32" xfId="0" applyNumberFormat="1" applyFont="1" applyFill="1" applyBorder="1" applyAlignment="1">
      <alignment horizontal="center" vertical="center" wrapText="1"/>
    </xf>
    <xf numFmtId="0" fontId="121" fillId="6" borderId="23" xfId="0" applyFont="1" applyFill="1" applyBorder="1" applyAlignment="1">
      <alignment horizontal="center" vertical="center" wrapText="1"/>
    </xf>
    <xf numFmtId="0" fontId="121" fillId="6" borderId="24" xfId="0" applyFont="1" applyFill="1" applyBorder="1" applyAlignment="1">
      <alignment horizontal="center" vertical="center" wrapText="1"/>
    </xf>
    <xf numFmtId="0" fontId="121" fillId="6" borderId="23" xfId="0" applyFont="1" applyFill="1" applyBorder="1" applyAlignment="1">
      <alignment horizontal="left" vertical="center" wrapText="1"/>
    </xf>
    <xf numFmtId="0" fontId="121" fillId="6" borderId="24" xfId="0" applyFont="1" applyFill="1" applyBorder="1" applyAlignment="1">
      <alignment horizontal="left" vertical="center" wrapText="1"/>
    </xf>
    <xf numFmtId="0" fontId="121" fillId="14" borderId="45" xfId="0" applyFont="1" applyFill="1" applyBorder="1" applyAlignment="1">
      <alignment horizontal="center" vertical="center" wrapText="1"/>
    </xf>
    <xf numFmtId="0" fontId="141" fillId="3" borderId="10" xfId="0" applyFont="1" applyFill="1" applyBorder="1" applyAlignment="1">
      <alignment horizontal="center" vertical="center" wrapText="1"/>
    </xf>
    <xf numFmtId="0" fontId="141" fillId="3" borderId="57" xfId="0" applyFont="1" applyFill="1" applyBorder="1" applyAlignment="1">
      <alignment horizontal="center" vertical="center" wrapText="1"/>
    </xf>
    <xf numFmtId="0" fontId="141" fillId="3" borderId="81" xfId="0" applyFont="1" applyFill="1" applyBorder="1" applyAlignment="1">
      <alignment horizontal="center" vertical="center" wrapText="1"/>
    </xf>
    <xf numFmtId="0" fontId="140" fillId="0" borderId="138" xfId="0" applyFont="1" applyBorder="1" applyAlignment="1">
      <alignment horizontal="center" vertical="center" wrapText="1"/>
    </xf>
    <xf numFmtId="0" fontId="140" fillId="0" borderId="109" xfId="0" applyFont="1" applyBorder="1" applyAlignment="1">
      <alignment horizontal="center" vertical="center" wrapText="1"/>
    </xf>
    <xf numFmtId="0" fontId="140" fillId="0" borderId="139" xfId="0" applyFont="1" applyBorder="1" applyAlignment="1">
      <alignment horizontal="center" vertical="center" wrapText="1"/>
    </xf>
    <xf numFmtId="0" fontId="122" fillId="13" borderId="190" xfId="0" applyFont="1" applyFill="1" applyBorder="1" applyAlignment="1">
      <alignment horizontal="center" vertical="center"/>
    </xf>
    <xf numFmtId="0" fontId="122" fillId="13" borderId="192" xfId="0" applyFont="1" applyFill="1" applyBorder="1" applyAlignment="1">
      <alignment horizontal="center" vertical="center"/>
    </xf>
    <xf numFmtId="0" fontId="122" fillId="13" borderId="142" xfId="0" applyFont="1" applyFill="1" applyBorder="1" applyAlignment="1">
      <alignment horizontal="center" vertical="center"/>
    </xf>
    <xf numFmtId="0" fontId="122" fillId="13" borderId="100" xfId="0" applyFont="1" applyFill="1" applyBorder="1" applyAlignment="1">
      <alignment horizontal="center" vertical="center"/>
    </xf>
    <xf numFmtId="0" fontId="122" fillId="13" borderId="122" xfId="0" applyFont="1" applyFill="1" applyBorder="1" applyAlignment="1">
      <alignment horizontal="center" vertical="center"/>
    </xf>
    <xf numFmtId="0" fontId="122" fillId="13" borderId="207" xfId="0" applyFont="1" applyFill="1" applyBorder="1" applyAlignment="1">
      <alignment horizontal="center" vertical="center"/>
    </xf>
    <xf numFmtId="0" fontId="122" fillId="13" borderId="197" xfId="0" applyFont="1" applyFill="1" applyBorder="1" applyAlignment="1">
      <alignment horizontal="center" vertical="center"/>
    </xf>
    <xf numFmtId="0" fontId="122" fillId="13" borderId="77" xfId="0" applyFont="1" applyFill="1" applyBorder="1" applyAlignment="1">
      <alignment horizontal="center" vertical="center"/>
    </xf>
    <xf numFmtId="0" fontId="121" fillId="0" borderId="210" xfId="0" applyFont="1" applyBorder="1" applyAlignment="1">
      <alignment horizontal="center" vertical="center" wrapText="1"/>
    </xf>
    <xf numFmtId="49" fontId="118" fillId="6" borderId="184" xfId="0" applyNumberFormat="1" applyFont="1" applyFill="1" applyBorder="1" applyAlignment="1">
      <alignment horizontal="center" vertical="center" wrapText="1"/>
    </xf>
    <xf numFmtId="49" fontId="118" fillId="6" borderId="34" xfId="0" applyNumberFormat="1" applyFont="1" applyFill="1" applyBorder="1" applyAlignment="1">
      <alignment horizontal="center" vertical="center" wrapText="1"/>
    </xf>
    <xf numFmtId="49" fontId="118" fillId="6" borderId="24" xfId="0" applyNumberFormat="1" applyFont="1" applyFill="1" applyBorder="1" applyAlignment="1">
      <alignment horizontal="center" vertical="center" wrapText="1"/>
    </xf>
    <xf numFmtId="0" fontId="122" fillId="13" borderId="121" xfId="0" applyFont="1" applyFill="1" applyBorder="1" applyAlignment="1">
      <alignment horizontal="center" vertical="center" wrapText="1"/>
    </xf>
    <xf numFmtId="0" fontId="122" fillId="13" borderId="185" xfId="0" applyFont="1" applyFill="1" applyBorder="1" applyAlignment="1">
      <alignment horizontal="center" vertical="center" wrapText="1"/>
    </xf>
    <xf numFmtId="41" fontId="122" fillId="13" borderId="121" xfId="3" applyFont="1" applyFill="1" applyBorder="1" applyAlignment="1">
      <alignment horizontal="center" vertical="center" wrapText="1"/>
    </xf>
    <xf numFmtId="41" fontId="122" fillId="13" borderId="185" xfId="3" applyFont="1" applyFill="1" applyBorder="1" applyAlignment="1">
      <alignment horizontal="center" vertical="center" wrapText="1"/>
    </xf>
    <xf numFmtId="0" fontId="122" fillId="13" borderId="172" xfId="0" applyFont="1" applyFill="1" applyBorder="1" applyAlignment="1">
      <alignment horizontal="center" vertical="center" wrapText="1"/>
    </xf>
    <xf numFmtId="0" fontId="122" fillId="13" borderId="124" xfId="0" applyFont="1" applyFill="1" applyBorder="1" applyAlignment="1">
      <alignment horizontal="center" vertical="center" wrapText="1"/>
    </xf>
    <xf numFmtId="0" fontId="122" fillId="13" borderId="125" xfId="0" applyFont="1" applyFill="1" applyBorder="1" applyAlignment="1">
      <alignment horizontal="center" vertical="center" wrapText="1"/>
    </xf>
    <xf numFmtId="0" fontId="122" fillId="0" borderId="182" xfId="0" applyFont="1" applyBorder="1" applyAlignment="1">
      <alignment horizontal="center" vertical="center"/>
    </xf>
    <xf numFmtId="0" fontId="122" fillId="0" borderId="109" xfId="0" applyFont="1" applyBorder="1" applyAlignment="1">
      <alignment horizontal="center" vertical="center"/>
    </xf>
    <xf numFmtId="0" fontId="122" fillId="0" borderId="139" xfId="0" applyFont="1" applyBorder="1" applyAlignment="1">
      <alignment horizontal="center" vertical="center"/>
    </xf>
    <xf numFmtId="204" fontId="137" fillId="4" borderId="30" xfId="0" applyNumberFormat="1" applyFont="1" applyFill="1" applyBorder="1" applyAlignment="1">
      <alignment horizontal="center" vertical="center"/>
    </xf>
    <xf numFmtId="204" fontId="137" fillId="4" borderId="32" xfId="0" applyNumberFormat="1" applyFont="1" applyFill="1" applyBorder="1" applyAlignment="1">
      <alignment horizontal="center" vertical="center"/>
    </xf>
    <xf numFmtId="204" fontId="137" fillId="15" borderId="30" xfId="0" applyNumberFormat="1" applyFont="1" applyFill="1" applyBorder="1" applyAlignment="1">
      <alignment horizontal="center" vertical="center"/>
    </xf>
    <xf numFmtId="204" fontId="137" fillId="15" borderId="32" xfId="0" applyNumberFormat="1" applyFont="1" applyFill="1" applyBorder="1" applyAlignment="1">
      <alignment horizontal="center" vertical="center"/>
    </xf>
    <xf numFmtId="204" fontId="128" fillId="16" borderId="30" xfId="0" applyNumberFormat="1" applyFont="1" applyFill="1" applyBorder="1" applyAlignment="1">
      <alignment horizontal="center" vertical="center"/>
    </xf>
    <xf numFmtId="204" fontId="128" fillId="16" borderId="32" xfId="0" applyNumberFormat="1" applyFont="1" applyFill="1" applyBorder="1" applyAlignment="1">
      <alignment horizontal="center" vertical="center"/>
    </xf>
    <xf numFmtId="0" fontId="138" fillId="13" borderId="121" xfId="0" applyFont="1" applyFill="1" applyBorder="1" applyAlignment="1">
      <alignment horizontal="center" vertical="center" wrapText="1"/>
    </xf>
    <xf numFmtId="0" fontId="138" fillId="13" borderId="185" xfId="0" applyFont="1" applyFill="1" applyBorder="1" applyAlignment="1">
      <alignment horizontal="center" vertical="center" wrapText="1"/>
    </xf>
    <xf numFmtId="0" fontId="139" fillId="7" borderId="121" xfId="0" applyFont="1" applyFill="1" applyBorder="1" applyAlignment="1">
      <alignment horizontal="center" vertical="center" wrapText="1"/>
    </xf>
    <xf numFmtId="0" fontId="139" fillId="7" borderId="185" xfId="0" applyFont="1" applyFill="1" applyBorder="1" applyAlignment="1">
      <alignment horizontal="center" vertical="center" wrapText="1"/>
    </xf>
    <xf numFmtId="179" fontId="122" fillId="13" borderId="123" xfId="0" applyNumberFormat="1" applyFont="1" applyFill="1" applyBorder="1" applyAlignment="1">
      <alignment horizontal="center" vertical="center"/>
    </xf>
    <xf numFmtId="179" fontId="122" fillId="13" borderId="40" xfId="0" applyNumberFormat="1" applyFont="1" applyFill="1" applyBorder="1" applyAlignment="1">
      <alignment horizontal="center" vertical="center"/>
    </xf>
    <xf numFmtId="49" fontId="118" fillId="6" borderId="183" xfId="0" applyNumberFormat="1" applyFont="1" applyFill="1" applyBorder="1" applyAlignment="1">
      <alignment horizontal="center" vertical="center" wrapText="1"/>
    </xf>
    <xf numFmtId="49" fontId="118" fillId="6" borderId="103" xfId="0" applyNumberFormat="1" applyFont="1" applyFill="1" applyBorder="1" applyAlignment="1">
      <alignment horizontal="center" vertical="center" wrapText="1"/>
    </xf>
    <xf numFmtId="49" fontId="118" fillId="6" borderId="61" xfId="0" applyNumberFormat="1" applyFont="1" applyFill="1" applyBorder="1" applyAlignment="1">
      <alignment horizontal="center" vertical="center" wrapText="1"/>
    </xf>
    <xf numFmtId="0" fontId="26" fillId="0" borderId="0" xfId="11" applyFont="1" applyAlignment="1">
      <alignment horizontal="left" vertical="center" wrapText="1"/>
    </xf>
    <xf numFmtId="0" fontId="43" fillId="13" borderId="187" xfId="11" applyFont="1" applyFill="1" applyBorder="1" applyAlignment="1">
      <alignment horizontal="center" vertical="center"/>
    </xf>
    <xf numFmtId="0" fontId="43" fillId="13" borderId="176" xfId="11" applyFont="1" applyFill="1" applyBorder="1" applyAlignment="1">
      <alignment horizontal="center" vertical="center"/>
    </xf>
    <xf numFmtId="0" fontId="43" fillId="13" borderId="6" xfId="11" applyFont="1" applyFill="1" applyBorder="1" applyAlignment="1">
      <alignment horizontal="center" vertical="center"/>
    </xf>
    <xf numFmtId="14" fontId="26" fillId="16" borderId="138" xfId="11" applyNumberFormat="1" applyFont="1" applyFill="1" applyBorder="1" applyAlignment="1">
      <alignment horizontal="center" vertical="center" shrinkToFit="1"/>
    </xf>
    <xf numFmtId="14" fontId="26" fillId="16" borderId="139" xfId="11" applyNumberFormat="1" applyFont="1" applyFill="1" applyBorder="1" applyAlignment="1">
      <alignment horizontal="center" vertical="center" shrinkToFit="1"/>
    </xf>
    <xf numFmtId="0" fontId="29" fillId="13" borderId="142" xfId="11" applyFont="1" applyFill="1" applyBorder="1" applyAlignment="1">
      <alignment horizontal="center" vertical="center"/>
    </xf>
    <xf numFmtId="0" fontId="57" fillId="13" borderId="100" xfId="11" applyFont="1" applyFill="1" applyBorder="1" applyAlignment="1">
      <alignment horizontal="center" vertical="center"/>
    </xf>
    <xf numFmtId="0" fontId="57" fillId="13" borderId="122" xfId="11" applyFont="1" applyFill="1" applyBorder="1" applyAlignment="1">
      <alignment horizontal="center" vertical="center"/>
    </xf>
    <xf numFmtId="0" fontId="57" fillId="13" borderId="207" xfId="11" applyFont="1" applyFill="1" applyBorder="1" applyAlignment="1">
      <alignment horizontal="center" vertical="center"/>
    </xf>
    <xf numFmtId="0" fontId="57" fillId="13" borderId="197" xfId="11" applyFont="1" applyFill="1" applyBorder="1" applyAlignment="1">
      <alignment horizontal="center" vertical="center"/>
    </xf>
    <xf numFmtId="0" fontId="57" fillId="13" borderId="77" xfId="11" applyFont="1" applyFill="1" applyBorder="1" applyAlignment="1">
      <alignment horizontal="center" vertical="center"/>
    </xf>
    <xf numFmtId="0" fontId="29" fillId="13" borderId="190" xfId="11" applyFont="1" applyFill="1" applyBorder="1" applyAlignment="1">
      <alignment horizontal="center" vertical="center"/>
    </xf>
    <xf numFmtId="0" fontId="57" fillId="13" borderId="191" xfId="11" applyFont="1" applyFill="1" applyBorder="1" applyAlignment="1">
      <alignment horizontal="center" vertical="center"/>
    </xf>
    <xf numFmtId="0" fontId="57" fillId="13" borderId="192" xfId="11" applyFont="1" applyFill="1" applyBorder="1" applyAlignment="1">
      <alignment horizontal="center" vertical="center"/>
    </xf>
    <xf numFmtId="0" fontId="57" fillId="13" borderId="121" xfId="11" applyFont="1" applyFill="1" applyBorder="1" applyAlignment="1">
      <alignment horizontal="center" vertical="center"/>
    </xf>
    <xf numFmtId="0" fontId="57" fillId="13" borderId="185" xfId="11" applyFont="1" applyFill="1" applyBorder="1" applyAlignment="1">
      <alignment horizontal="center" vertical="center"/>
    </xf>
    <xf numFmtId="0" fontId="26" fillId="0" borderId="0" xfId="11" applyFont="1" applyBorder="1" applyAlignment="1">
      <alignment horizontal="left" wrapText="1"/>
    </xf>
    <xf numFmtId="0" fontId="26" fillId="0" borderId="103" xfId="11" applyFont="1" applyBorder="1" applyAlignment="1">
      <alignment horizontal="left" wrapText="1"/>
    </xf>
    <xf numFmtId="0" fontId="58" fillId="16" borderId="184" xfId="11" applyFont="1" applyFill="1" applyBorder="1" applyAlignment="1">
      <alignment horizontal="center" vertical="center" wrapText="1"/>
    </xf>
    <xf numFmtId="0" fontId="58" fillId="16" borderId="24" xfId="11" applyFont="1" applyFill="1" applyBorder="1" applyAlignment="1">
      <alignment horizontal="center" vertical="center" wrapText="1"/>
    </xf>
    <xf numFmtId="0" fontId="43" fillId="13" borderId="142" xfId="11" applyFont="1" applyFill="1" applyBorder="1" applyAlignment="1">
      <alignment horizontal="center" vertical="center" shrinkToFit="1"/>
    </xf>
    <xf numFmtId="0" fontId="43" fillId="13" borderId="122" xfId="11" applyFont="1" applyFill="1" applyBorder="1" applyAlignment="1">
      <alignment horizontal="center" vertical="center" shrinkToFit="1"/>
    </xf>
    <xf numFmtId="0" fontId="43" fillId="13" borderId="183" xfId="11" applyFont="1" applyFill="1" applyBorder="1" applyAlignment="1">
      <alignment horizontal="center" vertical="center" shrinkToFit="1"/>
    </xf>
    <xf numFmtId="0" fontId="43" fillId="13" borderId="61" xfId="11" applyFont="1" applyFill="1" applyBorder="1" applyAlignment="1">
      <alignment horizontal="center" vertical="center" shrinkToFit="1"/>
    </xf>
    <xf numFmtId="0" fontId="26" fillId="14" borderId="28" xfId="11" applyNumberFormat="1" applyFont="1" applyFill="1" applyBorder="1" applyAlignment="1">
      <alignment horizontal="center" vertical="center"/>
    </xf>
    <xf numFmtId="0" fontId="58" fillId="14" borderId="0" xfId="11" applyNumberFormat="1" applyFont="1" applyFill="1" applyBorder="1" applyAlignment="1">
      <alignment horizontal="center" vertical="center"/>
    </xf>
    <xf numFmtId="0" fontId="58" fillId="14" borderId="20" xfId="11" applyNumberFormat="1" applyFont="1" applyFill="1" applyBorder="1" applyAlignment="1">
      <alignment horizontal="center" vertical="center"/>
    </xf>
    <xf numFmtId="0" fontId="58" fillId="5" borderId="199" xfId="11" applyFont="1" applyFill="1" applyBorder="1" applyAlignment="1">
      <alignment horizontal="center" vertical="center"/>
    </xf>
    <xf numFmtId="0" fontId="58" fillId="5" borderId="30" xfId="11" applyFont="1" applyFill="1" applyBorder="1" applyAlignment="1">
      <alignment horizontal="center" vertical="center"/>
    </xf>
    <xf numFmtId="0" fontId="58" fillId="5" borderId="4" xfId="11" applyFont="1" applyFill="1" applyBorder="1" applyAlignment="1">
      <alignment horizontal="center" vertical="center"/>
    </xf>
    <xf numFmtId="182" fontId="72" fillId="4" borderId="172" xfId="11" applyNumberFormat="1" applyFont="1" applyFill="1" applyBorder="1" applyAlignment="1">
      <alignment horizontal="center" vertical="center"/>
    </xf>
    <xf numFmtId="182" fontId="72" fillId="4" borderId="173" xfId="11" applyNumberFormat="1" applyFont="1" applyFill="1" applyBorder="1" applyAlignment="1">
      <alignment horizontal="center" vertical="center"/>
    </xf>
    <xf numFmtId="182" fontId="72" fillId="4" borderId="124" xfId="11" applyNumberFormat="1" applyFont="1" applyFill="1" applyBorder="1" applyAlignment="1">
      <alignment horizontal="center" vertical="center"/>
    </xf>
    <xf numFmtId="182" fontId="72" fillId="4" borderId="20" xfId="11" applyNumberFormat="1" applyFont="1" applyFill="1" applyBorder="1" applyAlignment="1">
      <alignment horizontal="center" vertical="center"/>
    </xf>
    <xf numFmtId="182" fontId="72" fillId="4" borderId="136" xfId="11" applyNumberFormat="1" applyFont="1" applyFill="1" applyBorder="1" applyAlignment="1">
      <alignment horizontal="center" vertical="center"/>
    </xf>
    <xf numFmtId="182" fontId="72" fillId="4" borderId="61" xfId="11" applyNumberFormat="1" applyFont="1" applyFill="1" applyBorder="1" applyAlignment="1">
      <alignment horizontal="center" vertical="center"/>
    </xf>
    <xf numFmtId="14" fontId="26" fillId="16" borderId="182" xfId="11" applyNumberFormat="1" applyFont="1" applyFill="1" applyBorder="1" applyAlignment="1">
      <alignment horizontal="center" vertical="center" shrinkToFit="1"/>
    </xf>
    <xf numFmtId="0" fontId="43" fillId="5" borderId="184" xfId="11" applyFont="1" applyFill="1" applyBorder="1" applyAlignment="1">
      <alignment horizontal="center" vertical="center" wrapText="1"/>
    </xf>
    <xf numFmtId="0" fontId="70" fillId="5" borderId="34" xfId="11" applyFont="1" applyFill="1" applyBorder="1" applyAlignment="1">
      <alignment horizontal="center" vertical="center" wrapText="1"/>
    </xf>
    <xf numFmtId="0" fontId="70" fillId="5" borderId="24" xfId="11" applyFont="1" applyFill="1" applyBorder="1" applyAlignment="1">
      <alignment horizontal="center" vertical="center" wrapText="1"/>
    </xf>
    <xf numFmtId="207" fontId="57" fillId="0" borderId="100" xfId="0" applyNumberFormat="1" applyFont="1" applyBorder="1" applyAlignment="1">
      <alignment horizontal="center" vertical="center"/>
    </xf>
    <xf numFmtId="10" fontId="43" fillId="14" borderId="222" xfId="0" applyNumberFormat="1" applyFont="1" applyFill="1" applyBorder="1" applyAlignment="1">
      <alignment horizontal="center" vertical="center"/>
    </xf>
    <xf numFmtId="10" fontId="43" fillId="14" borderId="194" xfId="0" applyNumberFormat="1" applyFont="1" applyFill="1" applyBorder="1" applyAlignment="1">
      <alignment horizontal="center" vertical="center"/>
    </xf>
    <xf numFmtId="10" fontId="43" fillId="14" borderId="171" xfId="0" applyNumberFormat="1" applyFont="1" applyFill="1" applyBorder="1" applyAlignment="1">
      <alignment horizontal="center" vertical="center"/>
    </xf>
    <xf numFmtId="0" fontId="61" fillId="7" borderId="179" xfId="11" applyFont="1" applyFill="1" applyBorder="1" applyAlignment="1">
      <alignment horizontal="center" vertical="center" wrapText="1"/>
    </xf>
    <xf numFmtId="0" fontId="61" fillId="7" borderId="180" xfId="11" applyFont="1" applyFill="1" applyBorder="1" applyAlignment="1">
      <alignment horizontal="center" vertical="center" wrapText="1"/>
    </xf>
    <xf numFmtId="10" fontId="70" fillId="6" borderId="170" xfId="1" applyNumberFormat="1" applyFont="1" applyFill="1" applyBorder="1" applyAlignment="1">
      <alignment horizontal="center" vertical="center"/>
    </xf>
    <xf numFmtId="10" fontId="70" fillId="6" borderId="171" xfId="1" applyNumberFormat="1" applyFont="1" applyFill="1" applyBorder="1" applyAlignment="1">
      <alignment horizontal="center" vertical="center"/>
    </xf>
    <xf numFmtId="0" fontId="64" fillId="7" borderId="174" xfId="0" applyFont="1" applyFill="1" applyBorder="1" applyAlignment="1">
      <alignment horizontal="center" vertical="center"/>
    </xf>
    <xf numFmtId="0" fontId="64" fillId="7" borderId="175" xfId="0" applyFont="1" applyFill="1" applyBorder="1" applyAlignment="1">
      <alignment horizontal="center" vertical="center"/>
    </xf>
    <xf numFmtId="0" fontId="64" fillId="7" borderId="36" xfId="0" applyFont="1" applyFill="1" applyBorder="1" applyAlignment="1">
      <alignment horizontal="center" vertical="center"/>
    </xf>
    <xf numFmtId="0" fontId="26" fillId="14" borderId="5" xfId="11" applyNumberFormat="1" applyFont="1" applyFill="1" applyBorder="1" applyAlignment="1">
      <alignment horizontal="center" vertical="center"/>
    </xf>
    <xf numFmtId="0" fontId="58" fillId="14" borderId="6" xfId="11" applyNumberFormat="1" applyFont="1" applyFill="1" applyBorder="1" applyAlignment="1">
      <alignment horizontal="center" vertical="center"/>
    </xf>
    <xf numFmtId="49" fontId="26" fillId="14" borderId="5" xfId="11" applyNumberFormat="1" applyFont="1" applyFill="1" applyBorder="1" applyAlignment="1">
      <alignment horizontal="center" vertical="center"/>
    </xf>
    <xf numFmtId="0" fontId="26" fillId="14" borderId="183" xfId="11" applyNumberFormat="1" applyFont="1" applyFill="1" applyBorder="1" applyAlignment="1">
      <alignment horizontal="center" vertical="center"/>
    </xf>
    <xf numFmtId="49" fontId="43" fillId="5" borderId="184" xfId="11" applyNumberFormat="1" applyFont="1" applyFill="1" applyBorder="1" applyAlignment="1">
      <alignment horizontal="center" vertical="center"/>
    </xf>
    <xf numFmtId="49" fontId="70" fillId="5" borderId="34" xfId="11" applyNumberFormat="1" applyFont="1" applyFill="1" applyBorder="1" applyAlignment="1">
      <alignment horizontal="center" vertical="center"/>
    </xf>
    <xf numFmtId="0" fontId="64" fillId="7" borderId="177" xfId="0" applyFont="1" applyFill="1" applyBorder="1" applyAlignment="1">
      <alignment horizontal="center" vertical="center"/>
    </xf>
    <xf numFmtId="0" fontId="46" fillId="13" borderId="123" xfId="11" applyFont="1" applyFill="1" applyBorder="1" applyAlignment="1">
      <alignment horizontal="center" vertical="center" wrapText="1"/>
    </xf>
    <xf numFmtId="0" fontId="46" fillId="13" borderId="122" xfId="11" applyFont="1" applyFill="1" applyBorder="1" applyAlignment="1">
      <alignment horizontal="center" vertical="center" wrapText="1"/>
    </xf>
    <xf numFmtId="0" fontId="46" fillId="13" borderId="40" xfId="11" applyFont="1" applyFill="1" applyBorder="1" applyAlignment="1">
      <alignment horizontal="center" vertical="center" wrapText="1"/>
    </xf>
    <xf numFmtId="0" fontId="46" fillId="13" borderId="77" xfId="11" applyFont="1" applyFill="1" applyBorder="1" applyAlignment="1">
      <alignment horizontal="center" vertical="center" wrapText="1"/>
    </xf>
    <xf numFmtId="182" fontId="72" fillId="4" borderId="26" xfId="11" applyNumberFormat="1" applyFont="1" applyFill="1" applyBorder="1" applyAlignment="1">
      <alignment horizontal="center" vertical="center"/>
    </xf>
    <xf numFmtId="182" fontId="72" fillId="4" borderId="67" xfId="11" applyNumberFormat="1" applyFont="1" applyFill="1" applyBorder="1" applyAlignment="1">
      <alignment horizontal="center" vertical="center"/>
    </xf>
    <xf numFmtId="0" fontId="58" fillId="5" borderId="25" xfId="11" applyFont="1" applyFill="1" applyBorder="1" applyAlignment="1">
      <alignment horizontal="center" vertical="center"/>
    </xf>
    <xf numFmtId="0" fontId="57" fillId="0" borderId="137" xfId="11" applyFont="1" applyBorder="1" applyAlignment="1">
      <alignment horizontal="center" vertical="center"/>
    </xf>
    <xf numFmtId="0" fontId="57" fillId="0" borderId="113" xfId="11" applyFont="1" applyBorder="1" applyAlignment="1">
      <alignment horizontal="center" vertical="center"/>
    </xf>
    <xf numFmtId="0" fontId="57" fillId="0" borderId="33" xfId="11" applyFont="1" applyBorder="1" applyAlignment="1">
      <alignment horizontal="center" vertical="center"/>
    </xf>
    <xf numFmtId="182" fontId="46" fillId="4" borderId="138" xfId="11" applyNumberFormat="1" applyFont="1" applyFill="1" applyBorder="1" applyAlignment="1">
      <alignment horizontal="center" vertical="center"/>
    </xf>
    <xf numFmtId="182" fontId="46" fillId="4" borderId="139" xfId="11" applyNumberFormat="1" applyFont="1" applyFill="1" applyBorder="1" applyAlignment="1">
      <alignment horizontal="center" vertical="center"/>
    </xf>
    <xf numFmtId="0" fontId="58" fillId="4" borderId="199" xfId="11" applyNumberFormat="1" applyFont="1" applyFill="1" applyBorder="1" applyAlignment="1">
      <alignment horizontal="center" vertical="center"/>
    </xf>
    <xf numFmtId="0" fontId="58" fillId="4" borderId="30" xfId="11" applyNumberFormat="1" applyFont="1" applyFill="1" applyBorder="1" applyAlignment="1">
      <alignment horizontal="center" vertical="center"/>
    </xf>
    <xf numFmtId="0" fontId="58" fillId="4" borderId="4" xfId="11" applyNumberFormat="1" applyFont="1" applyFill="1" applyBorder="1" applyAlignment="1">
      <alignment horizontal="center" vertical="center"/>
    </xf>
    <xf numFmtId="0" fontId="58" fillId="4" borderId="25" xfId="11" applyNumberFormat="1" applyFont="1" applyFill="1" applyBorder="1" applyAlignment="1">
      <alignment horizontal="center" vertical="center"/>
    </xf>
    <xf numFmtId="0" fontId="29" fillId="13" borderId="131" xfId="0" applyFont="1" applyFill="1" applyBorder="1" applyAlignment="1">
      <alignment horizontal="center" vertical="center" wrapText="1"/>
    </xf>
    <xf numFmtId="0" fontId="57" fillId="13" borderId="141" xfId="0" applyFont="1" applyFill="1" applyBorder="1" applyAlignment="1">
      <alignment horizontal="center" vertical="center" wrapText="1"/>
    </xf>
    <xf numFmtId="0" fontId="57" fillId="13" borderId="132" xfId="0" applyFont="1" applyFill="1" applyBorder="1" applyAlignment="1">
      <alignment horizontal="center" vertical="center" wrapText="1"/>
    </xf>
    <xf numFmtId="0" fontId="29" fillId="13" borderId="189" xfId="11" applyFont="1" applyFill="1" applyBorder="1" applyAlignment="1">
      <alignment horizontal="center" vertical="center" wrapText="1"/>
    </xf>
    <xf numFmtId="0" fontId="57" fillId="13" borderId="141" xfId="11" applyFont="1" applyFill="1" applyBorder="1" applyAlignment="1">
      <alignment horizontal="center" vertical="center"/>
    </xf>
    <xf numFmtId="0" fontId="57" fillId="13" borderId="132" xfId="11" applyFont="1" applyFill="1" applyBorder="1" applyAlignment="1">
      <alignment horizontal="center" vertical="center"/>
    </xf>
    <xf numFmtId="0" fontId="46" fillId="13" borderId="2" xfId="0" applyFont="1" applyFill="1" applyBorder="1" applyAlignment="1">
      <alignment horizontal="center" vertical="center" wrapText="1"/>
    </xf>
    <xf numFmtId="0" fontId="46" fillId="13" borderId="2" xfId="0" applyFont="1" applyFill="1" applyBorder="1" applyAlignment="1">
      <alignment horizontal="center" vertical="center"/>
    </xf>
    <xf numFmtId="2" fontId="58" fillId="4" borderId="170" xfId="3" applyNumberFormat="1" applyFont="1" applyFill="1" applyBorder="1" applyAlignment="1">
      <alignment horizontal="center" vertical="center"/>
    </xf>
    <xf numFmtId="2" fontId="58" fillId="4" borderId="171" xfId="3" applyNumberFormat="1" applyFont="1" applyFill="1" applyBorder="1" applyAlignment="1">
      <alignment horizontal="center" vertical="center"/>
    </xf>
    <xf numFmtId="0" fontId="29" fillId="13" borderId="189" xfId="11" applyFont="1" applyFill="1" applyBorder="1" applyAlignment="1">
      <alignment horizontal="center" vertical="center"/>
    </xf>
    <xf numFmtId="10" fontId="58" fillId="4" borderId="170" xfId="0" applyNumberFormat="1" applyFont="1" applyFill="1" applyBorder="1" applyAlignment="1">
      <alignment horizontal="center" vertical="center"/>
    </xf>
    <xf numFmtId="10" fontId="58" fillId="4" borderId="194" xfId="0" applyNumberFormat="1" applyFont="1" applyFill="1" applyBorder="1" applyAlignment="1">
      <alignment horizontal="center" vertical="center"/>
    </xf>
    <xf numFmtId="10" fontId="58" fillId="4" borderId="171" xfId="0" applyNumberFormat="1" applyFont="1" applyFill="1" applyBorder="1" applyAlignment="1">
      <alignment horizontal="center" vertical="center"/>
    </xf>
    <xf numFmtId="0" fontId="29" fillId="13" borderId="187" xfId="9" applyFont="1" applyFill="1" applyBorder="1" applyAlignment="1">
      <alignment horizontal="center" vertical="center" wrapText="1"/>
    </xf>
    <xf numFmtId="0" fontId="29" fillId="13" borderId="41" xfId="9" applyFont="1" applyFill="1" applyBorder="1" applyAlignment="1">
      <alignment horizontal="center" vertical="center" wrapText="1"/>
    </xf>
    <xf numFmtId="0" fontId="26" fillId="6" borderId="4" xfId="9" applyFont="1" applyFill="1" applyBorder="1" applyAlignment="1">
      <alignment horizontal="center" vertical="center"/>
    </xf>
    <xf numFmtId="0" fontId="26" fillId="6" borderId="39" xfId="9" applyFont="1" applyFill="1" applyBorder="1" applyAlignment="1">
      <alignment horizontal="center" vertical="center"/>
    </xf>
    <xf numFmtId="0" fontId="26" fillId="6" borderId="25" xfId="9" applyFont="1" applyFill="1" applyBorder="1" applyAlignment="1">
      <alignment horizontal="center" vertical="center"/>
    </xf>
    <xf numFmtId="0" fontId="26" fillId="6" borderId="187" xfId="9" applyFont="1" applyFill="1" applyBorder="1" applyAlignment="1">
      <alignment horizontal="center" vertical="center"/>
    </xf>
    <xf numFmtId="0" fontId="42" fillId="15" borderId="2" xfId="9" applyFont="1" applyFill="1" applyBorder="1" applyAlignment="1">
      <alignment horizontal="center" vertical="center" wrapText="1"/>
    </xf>
    <xf numFmtId="0" fontId="42" fillId="15" borderId="18" xfId="9" applyFont="1" applyFill="1" applyBorder="1" applyAlignment="1">
      <alignment horizontal="center" vertical="center" wrapText="1"/>
    </xf>
    <xf numFmtId="0" fontId="29" fillId="13" borderId="176" xfId="9" applyFont="1" applyFill="1" applyBorder="1" applyAlignment="1">
      <alignment horizontal="center" vertical="center"/>
    </xf>
    <xf numFmtId="0" fontId="29" fillId="13" borderId="178" xfId="9" applyFont="1" applyFill="1" applyBorder="1" applyAlignment="1">
      <alignment horizontal="center" vertical="center"/>
    </xf>
    <xf numFmtId="0" fontId="26" fillId="0" borderId="27" xfId="9" quotePrefix="1" applyFont="1" applyBorder="1" applyAlignment="1">
      <alignment horizontal="left" vertical="center" wrapText="1"/>
    </xf>
    <xf numFmtId="0" fontId="26" fillId="0" borderId="0" xfId="9" quotePrefix="1" applyFont="1" applyBorder="1" applyAlignment="1">
      <alignment horizontal="left" vertical="center" wrapText="1"/>
    </xf>
    <xf numFmtId="0" fontId="26" fillId="0" borderId="25" xfId="9" applyFont="1" applyBorder="1" applyAlignment="1">
      <alignment horizontal="center" vertical="center"/>
    </xf>
    <xf numFmtId="0" fontId="26" fillId="0" borderId="4" xfId="9" applyFont="1" applyBorder="1" applyAlignment="1">
      <alignment horizontal="center" vertical="center"/>
    </xf>
    <xf numFmtId="0" fontId="58" fillId="0" borderId="0" xfId="9" applyFont="1" applyAlignment="1">
      <alignment horizontal="left" vertical="center"/>
    </xf>
    <xf numFmtId="0" fontId="43" fillId="13" borderId="195" xfId="9" applyFont="1" applyFill="1" applyBorder="1" applyAlignment="1">
      <alignment horizontal="center" vertical="center"/>
    </xf>
    <xf numFmtId="0" fontId="70" fillId="13" borderId="196" xfId="9" applyFont="1" applyFill="1" applyBorder="1" applyAlignment="1">
      <alignment horizontal="center" vertical="center"/>
    </xf>
    <xf numFmtId="0" fontId="42" fillId="15" borderId="143" xfId="9" applyFont="1" applyFill="1" applyBorder="1" applyAlignment="1">
      <alignment horizontal="center" vertical="center" wrapText="1"/>
    </xf>
    <xf numFmtId="0" fontId="61" fillId="15" borderId="181" xfId="9" applyFont="1" applyFill="1" applyBorder="1" applyAlignment="1">
      <alignment horizontal="center" vertical="center" wrapText="1"/>
    </xf>
    <xf numFmtId="0" fontId="38" fillId="13" borderId="190" xfId="9" applyFont="1" applyFill="1" applyBorder="1" applyAlignment="1">
      <alignment horizontal="center" vertical="center"/>
    </xf>
    <xf numFmtId="0" fontId="38" fillId="13" borderId="218" xfId="9" applyFont="1" applyFill="1" applyBorder="1" applyAlignment="1">
      <alignment horizontal="center" vertical="center"/>
    </xf>
    <xf numFmtId="0" fontId="26" fillId="0" borderId="0" xfId="9" applyFont="1" applyAlignment="1">
      <alignment horizontal="left" vertical="center"/>
    </xf>
    <xf numFmtId="0" fontId="46" fillId="13" borderId="121" xfId="9" applyFont="1" applyFill="1" applyBorder="1" applyAlignment="1">
      <alignment horizontal="center" vertical="center" wrapText="1"/>
    </xf>
    <xf numFmtId="0" fontId="46" fillId="13" borderId="185" xfId="9" applyFont="1" applyFill="1" applyBorder="1" applyAlignment="1">
      <alignment horizontal="center" vertical="center" wrapText="1"/>
    </xf>
    <xf numFmtId="0" fontId="70" fillId="13" borderId="190" xfId="9" applyFont="1" applyFill="1" applyBorder="1" applyAlignment="1">
      <alignment horizontal="center" vertical="center" wrapText="1"/>
    </xf>
    <xf numFmtId="0" fontId="70" fillId="13" borderId="192" xfId="9" applyFont="1" applyFill="1" applyBorder="1" applyAlignment="1">
      <alignment horizontal="center" vertical="center" wrapText="1"/>
    </xf>
    <xf numFmtId="14" fontId="78" fillId="4" borderId="182" xfId="0" applyNumberFormat="1" applyFont="1" applyFill="1" applyBorder="1" applyAlignment="1">
      <alignment horizontal="center" vertical="center"/>
    </xf>
    <xf numFmtId="14" fontId="78" fillId="4" borderId="139" xfId="0" applyNumberFormat="1" applyFont="1" applyFill="1" applyBorder="1" applyAlignment="1">
      <alignment horizontal="center" vertical="center"/>
    </xf>
    <xf numFmtId="0" fontId="43" fillId="13" borderId="123" xfId="9" applyFont="1" applyFill="1" applyBorder="1" applyAlignment="1">
      <alignment horizontal="center" vertical="center" wrapText="1"/>
    </xf>
    <xf numFmtId="0" fontId="43" fillId="13" borderId="122" xfId="9" applyFont="1" applyFill="1" applyBorder="1" applyAlignment="1">
      <alignment horizontal="center" vertical="center" wrapText="1"/>
    </xf>
    <xf numFmtId="0" fontId="43" fillId="13" borderId="40" xfId="9" applyFont="1" applyFill="1" applyBorder="1" applyAlignment="1">
      <alignment horizontal="center" vertical="center" wrapText="1"/>
    </xf>
    <xf numFmtId="0" fontId="43" fillId="13" borderId="77" xfId="9" applyFont="1" applyFill="1" applyBorder="1" applyAlignment="1">
      <alignment horizontal="center" vertical="center" wrapText="1"/>
    </xf>
    <xf numFmtId="0" fontId="57" fillId="0" borderId="182" xfId="9" applyFont="1" applyBorder="1" applyAlignment="1">
      <alignment horizontal="center" vertical="center"/>
    </xf>
    <xf numFmtId="0" fontId="57" fillId="0" borderId="109" xfId="9" applyFont="1" applyBorder="1" applyAlignment="1">
      <alignment horizontal="center" vertical="center"/>
    </xf>
    <xf numFmtId="0" fontId="57" fillId="0" borderId="139" xfId="9" applyFont="1" applyBorder="1" applyAlignment="1">
      <alignment horizontal="center" vertical="center"/>
    </xf>
    <xf numFmtId="0" fontId="38" fillId="13" borderId="225" xfId="0" applyFont="1" applyFill="1" applyBorder="1" applyAlignment="1">
      <alignment horizontal="center" vertical="center"/>
    </xf>
    <xf numFmtId="0" fontId="38" fillId="13" borderId="192" xfId="0" applyFont="1" applyFill="1" applyBorder="1" applyAlignment="1">
      <alignment horizontal="center" vertical="center"/>
    </xf>
    <xf numFmtId="0" fontId="38" fillId="13" borderId="184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70" fillId="13" borderId="191" xfId="9" applyFont="1" applyFill="1" applyBorder="1" applyAlignment="1">
      <alignment horizontal="center" vertical="center" wrapText="1"/>
    </xf>
    <xf numFmtId="0" fontId="58" fillId="6" borderId="6" xfId="9" applyFont="1" applyFill="1" applyBorder="1" applyAlignment="1">
      <alignment horizontal="center" vertical="center" wrapText="1" shrinkToFit="1"/>
    </xf>
    <xf numFmtId="49" fontId="26" fillId="6" borderId="23" xfId="9" applyNumberFormat="1" applyFont="1" applyFill="1" applyBorder="1" applyAlignment="1">
      <alignment horizontal="center" vertical="center"/>
    </xf>
    <xf numFmtId="49" fontId="58" fillId="6" borderId="24" xfId="9" applyNumberFormat="1" applyFont="1" applyFill="1" applyBorder="1" applyAlignment="1">
      <alignment horizontal="center" vertical="center"/>
    </xf>
    <xf numFmtId="41" fontId="58" fillId="6" borderId="125" xfId="3" applyFont="1" applyFill="1" applyBorder="1" applyAlignment="1">
      <alignment vertical="center"/>
    </xf>
    <xf numFmtId="41" fontId="58" fillId="6" borderId="33" xfId="3" applyFont="1" applyFill="1" applyBorder="1" applyAlignment="1">
      <alignment vertical="center"/>
    </xf>
    <xf numFmtId="0" fontId="26" fillId="0" borderId="0" xfId="9" applyFont="1" applyAlignment="1">
      <alignment horizontal="left" vertical="center" wrapText="1"/>
    </xf>
    <xf numFmtId="10" fontId="58" fillId="16" borderId="32" xfId="1" applyNumberFormat="1" applyFont="1" applyFill="1" applyBorder="1" applyAlignment="1">
      <alignment horizontal="center" vertical="center"/>
    </xf>
    <xf numFmtId="0" fontId="70" fillId="13" borderId="101" xfId="9" applyFont="1" applyFill="1" applyBorder="1" applyAlignment="1">
      <alignment horizontal="center" vertical="center" wrapText="1"/>
    </xf>
    <xf numFmtId="0" fontId="70" fillId="13" borderId="102" xfId="9" applyFont="1" applyFill="1" applyBorder="1" applyAlignment="1">
      <alignment horizontal="center" vertical="center" wrapText="1"/>
    </xf>
    <xf numFmtId="49" fontId="58" fillId="6" borderId="6" xfId="9" applyNumberFormat="1" applyFont="1" applyFill="1" applyBorder="1" applyAlignment="1">
      <alignment horizontal="center" vertical="center"/>
    </xf>
    <xf numFmtId="14" fontId="38" fillId="13" borderId="223" xfId="9" applyNumberFormat="1" applyFont="1" applyFill="1" applyBorder="1" applyAlignment="1">
      <alignment horizontal="center" vertical="center"/>
    </xf>
    <xf numFmtId="14" fontId="38" fillId="13" borderId="224" xfId="9" applyNumberFormat="1" applyFont="1" applyFill="1" applyBorder="1" applyAlignment="1">
      <alignment horizontal="center" vertical="center"/>
    </xf>
    <xf numFmtId="49" fontId="45" fillId="0" borderId="113" xfId="9" applyNumberFormat="1" applyFont="1" applyFill="1" applyBorder="1" applyAlignment="1">
      <alignment horizontal="center" vertical="center"/>
    </xf>
    <xf numFmtId="183" fontId="46" fillId="16" borderId="199" xfId="9" applyNumberFormat="1" applyFont="1" applyFill="1" applyBorder="1" applyAlignment="1">
      <alignment horizontal="center" vertical="center"/>
    </xf>
    <xf numFmtId="183" fontId="46" fillId="16" borderId="30" xfId="9" applyNumberFormat="1" applyFont="1" applyFill="1" applyBorder="1" applyAlignment="1">
      <alignment horizontal="center" vertical="center"/>
    </xf>
    <xf numFmtId="183" fontId="46" fillId="16" borderId="32" xfId="9" applyNumberFormat="1" applyFont="1" applyFill="1" applyBorder="1" applyAlignment="1">
      <alignment horizontal="center" vertical="center"/>
    </xf>
    <xf numFmtId="0" fontId="29" fillId="13" borderId="2" xfId="9" applyFont="1" applyFill="1" applyBorder="1" applyAlignment="1">
      <alignment horizontal="center" vertical="center"/>
    </xf>
    <xf numFmtId="0" fontId="57" fillId="13" borderId="2" xfId="9" applyFont="1" applyFill="1" applyBorder="1" applyAlignment="1">
      <alignment horizontal="center" vertical="center"/>
    </xf>
    <xf numFmtId="0" fontId="43" fillId="13" borderId="2" xfId="9" applyFont="1" applyFill="1" applyBorder="1" applyAlignment="1">
      <alignment horizontal="center" vertical="center" wrapText="1"/>
    </xf>
    <xf numFmtId="0" fontId="58" fillId="6" borderId="4" xfId="9" applyFont="1" applyFill="1" applyBorder="1" applyAlignment="1">
      <alignment horizontal="center" vertical="center" wrapText="1" shrinkToFit="1"/>
    </xf>
    <xf numFmtId="14" fontId="58" fillId="6" borderId="4" xfId="9" applyNumberFormat="1" applyFont="1" applyFill="1" applyBorder="1" applyAlignment="1">
      <alignment horizontal="center" vertical="center"/>
    </xf>
    <xf numFmtId="49" fontId="26" fillId="6" borderId="6" xfId="9" applyNumberFormat="1" applyFont="1" applyFill="1" applyBorder="1" applyAlignment="1">
      <alignment horizontal="center" vertical="center"/>
    </xf>
    <xf numFmtId="0" fontId="29" fillId="0" borderId="38" xfId="9" applyFont="1" applyBorder="1" applyAlignment="1">
      <alignment horizontal="center" vertical="center" wrapText="1"/>
    </xf>
    <xf numFmtId="0" fontId="29" fillId="0" borderId="39" xfId="9" applyFont="1" applyBorder="1" applyAlignment="1">
      <alignment horizontal="center" vertical="center"/>
    </xf>
    <xf numFmtId="0" fontId="45" fillId="0" borderId="39" xfId="9" applyFont="1" applyBorder="1" applyAlignment="1">
      <alignment horizontal="center" vertical="center"/>
    </xf>
    <xf numFmtId="0" fontId="29" fillId="13" borderId="1" xfId="9" applyFont="1" applyFill="1" applyBorder="1" applyAlignment="1">
      <alignment horizontal="center" vertical="center" wrapText="1"/>
    </xf>
    <xf numFmtId="0" fontId="29" fillId="13" borderId="2" xfId="9" applyFont="1" applyFill="1" applyBorder="1" applyAlignment="1">
      <alignment horizontal="center" vertical="center" wrapText="1"/>
    </xf>
    <xf numFmtId="0" fontId="40" fillId="13" borderId="2" xfId="9" applyFont="1" applyFill="1" applyBorder="1" applyAlignment="1">
      <alignment horizontal="center" vertical="center" wrapText="1"/>
    </xf>
    <xf numFmtId="209" fontId="40" fillId="4" borderId="39" xfId="9" applyNumberFormat="1" applyFont="1" applyFill="1" applyBorder="1" applyAlignment="1">
      <alignment horizontal="center" vertical="center"/>
    </xf>
    <xf numFmtId="0" fontId="42" fillId="15" borderId="39" xfId="9" applyFont="1" applyFill="1" applyBorder="1" applyAlignment="1">
      <alignment horizontal="center" vertical="center"/>
    </xf>
    <xf numFmtId="0" fontId="42" fillId="15" borderId="37" xfId="9" applyFont="1" applyFill="1" applyBorder="1" applyAlignment="1">
      <alignment horizontal="center" vertical="center"/>
    </xf>
    <xf numFmtId="0" fontId="26" fillId="0" borderId="3" xfId="9" applyFont="1" applyFill="1" applyBorder="1" applyAlignment="1">
      <alignment horizontal="center" vertical="center" wrapText="1"/>
    </xf>
    <xf numFmtId="0" fontId="26" fillId="0" borderId="4" xfId="9" applyFont="1" applyFill="1" applyBorder="1" applyAlignment="1">
      <alignment horizontal="center" vertical="center" wrapText="1"/>
    </xf>
    <xf numFmtId="49" fontId="26" fillId="6" borderId="4" xfId="9" applyNumberFormat="1" applyFont="1" applyFill="1" applyBorder="1" applyAlignment="1">
      <alignment horizontal="center" vertical="center"/>
    </xf>
    <xf numFmtId="2" fontId="72" fillId="4" borderId="4" xfId="9" applyNumberFormat="1" applyFont="1" applyFill="1" applyBorder="1" applyAlignment="1">
      <alignment horizontal="center" vertical="center"/>
    </xf>
    <xf numFmtId="0" fontId="73" fillId="15" borderId="4" xfId="9" applyFont="1" applyFill="1" applyBorder="1" applyAlignment="1">
      <alignment horizontal="center" vertical="center"/>
    </xf>
    <xf numFmtId="0" fontId="73" fillId="15" borderId="36" xfId="9" applyFont="1" applyFill="1" applyBorder="1" applyAlignment="1">
      <alignment horizontal="center" vertical="center"/>
    </xf>
    <xf numFmtId="0" fontId="26" fillId="0" borderId="5" xfId="9" applyFont="1" applyFill="1" applyBorder="1" applyAlignment="1">
      <alignment horizontal="center" vertical="center" wrapText="1"/>
    </xf>
    <xf numFmtId="0" fontId="26" fillId="0" borderId="6" xfId="9" applyFont="1" applyFill="1" applyBorder="1" applyAlignment="1">
      <alignment horizontal="center" vertical="center" wrapText="1"/>
    </xf>
    <xf numFmtId="0" fontId="26" fillId="6" borderId="6" xfId="9" applyFont="1" applyFill="1" applyBorder="1" applyAlignment="1">
      <alignment horizontal="center" vertical="center"/>
    </xf>
    <xf numFmtId="2" fontId="72" fillId="4" borderId="6" xfId="9" applyNumberFormat="1" applyFont="1" applyFill="1" applyBorder="1" applyAlignment="1">
      <alignment horizontal="center" vertical="center"/>
    </xf>
    <xf numFmtId="0" fontId="73" fillId="15" borderId="6" xfId="9" applyFont="1" applyFill="1" applyBorder="1" applyAlignment="1">
      <alignment horizontal="center" vertical="center"/>
    </xf>
    <xf numFmtId="0" fontId="73" fillId="15" borderId="35" xfId="9" applyFont="1" applyFill="1" applyBorder="1" applyAlignment="1">
      <alignment horizontal="center" vertical="center"/>
    </xf>
    <xf numFmtId="0" fontId="29" fillId="13" borderId="186" xfId="9" applyFont="1" applyFill="1" applyBorder="1" applyAlignment="1">
      <alignment horizontal="center" vertical="center"/>
    </xf>
    <xf numFmtId="0" fontId="29" fillId="13" borderId="187" xfId="9" applyFont="1" applyFill="1" applyBorder="1" applyAlignment="1">
      <alignment horizontal="center" vertical="center"/>
    </xf>
    <xf numFmtId="0" fontId="29" fillId="13" borderId="193" xfId="9" applyFont="1" applyFill="1" applyBorder="1" applyAlignment="1">
      <alignment horizontal="center" vertical="center"/>
    </xf>
    <xf numFmtId="0" fontId="29" fillId="13" borderId="41" xfId="9" applyFont="1" applyFill="1" applyBorder="1" applyAlignment="1">
      <alignment horizontal="center" vertical="center"/>
    </xf>
    <xf numFmtId="14" fontId="26" fillId="6" borderId="39" xfId="9" applyNumberFormat="1" applyFont="1" applyFill="1" applyBorder="1" applyAlignment="1">
      <alignment horizontal="center" vertical="center" wrapText="1"/>
    </xf>
    <xf numFmtId="0" fontId="26" fillId="14" borderId="3" xfId="9" applyFont="1" applyFill="1" applyBorder="1" applyAlignment="1">
      <alignment horizontal="center" vertical="center" wrapText="1"/>
    </xf>
    <xf numFmtId="0" fontId="26" fillId="14" borderId="38" xfId="9" applyFont="1" applyFill="1" applyBorder="1" applyAlignment="1">
      <alignment horizontal="center" vertical="center" wrapText="1"/>
    </xf>
    <xf numFmtId="0" fontId="26" fillId="14" borderId="4" xfId="9" applyFont="1" applyFill="1" applyBorder="1" applyAlignment="1">
      <alignment horizontal="center" vertical="center" wrapText="1"/>
    </xf>
    <xf numFmtId="0" fontId="26" fillId="14" borderId="39" xfId="9" applyFont="1" applyFill="1" applyBorder="1" applyAlignment="1">
      <alignment horizontal="center" vertical="center" wrapText="1"/>
    </xf>
    <xf numFmtId="14" fontId="26" fillId="6" borderId="4" xfId="9" applyNumberFormat="1" applyFont="1" applyFill="1" applyBorder="1" applyAlignment="1">
      <alignment horizontal="center" vertical="center" wrapText="1"/>
    </xf>
    <xf numFmtId="14" fontId="26" fillId="6" borderId="138" xfId="9" applyNumberFormat="1" applyFont="1" applyFill="1" applyBorder="1" applyAlignment="1">
      <alignment horizontal="center" vertical="center" wrapText="1"/>
    </xf>
    <xf numFmtId="14" fontId="26" fillId="6" borderId="139" xfId="9" applyNumberFormat="1" applyFont="1" applyFill="1" applyBorder="1" applyAlignment="1">
      <alignment horizontal="center" vertical="center" wrapText="1"/>
    </xf>
    <xf numFmtId="14" fontId="26" fillId="6" borderId="25" xfId="9" applyNumberFormat="1" applyFont="1" applyFill="1" applyBorder="1" applyAlignment="1">
      <alignment horizontal="center" vertical="center" wrapText="1"/>
    </xf>
    <xf numFmtId="0" fontId="26" fillId="14" borderId="188" xfId="9" applyFont="1" applyFill="1" applyBorder="1" applyAlignment="1">
      <alignment horizontal="center" vertical="center" wrapText="1"/>
    </xf>
    <xf numFmtId="0" fontId="26" fillId="14" borderId="25" xfId="9" applyFont="1" applyFill="1" applyBorder="1" applyAlignment="1">
      <alignment horizontal="center" vertical="center" wrapText="1"/>
    </xf>
    <xf numFmtId="0" fontId="26" fillId="14" borderId="186" xfId="9" applyFont="1" applyFill="1" applyBorder="1" applyAlignment="1">
      <alignment horizontal="center" vertical="center" wrapText="1"/>
    </xf>
    <xf numFmtId="0" fontId="26" fillId="14" borderId="187" xfId="9" applyFont="1" applyFill="1" applyBorder="1" applyAlignment="1">
      <alignment horizontal="center" vertical="center" wrapText="1"/>
    </xf>
    <xf numFmtId="14" fontId="26" fillId="6" borderId="187" xfId="9" applyNumberFormat="1" applyFont="1" applyFill="1" applyBorder="1" applyAlignment="1">
      <alignment horizontal="center" vertical="center" wrapText="1"/>
    </xf>
    <xf numFmtId="0" fontId="26" fillId="6" borderId="138" xfId="9" applyFont="1" applyFill="1" applyBorder="1" applyAlignment="1">
      <alignment horizontal="center" vertical="center"/>
    </xf>
    <xf numFmtId="0" fontId="26" fillId="6" borderId="109" xfId="9" applyFont="1" applyFill="1" applyBorder="1" applyAlignment="1">
      <alignment horizontal="center" vertical="center"/>
    </xf>
    <xf numFmtId="0" fontId="26" fillId="6" borderId="139" xfId="9" applyFont="1" applyFill="1" applyBorder="1" applyAlignment="1">
      <alignment horizontal="center" vertical="center"/>
    </xf>
    <xf numFmtId="0" fontId="94" fillId="14" borderId="25" xfId="0" applyFont="1" applyFill="1" applyBorder="1" applyAlignment="1">
      <alignment horizontal="center" vertical="center" wrapText="1"/>
    </xf>
    <xf numFmtId="0" fontId="94" fillId="14" borderId="30" xfId="0" applyFont="1" applyFill="1" applyBorder="1" applyAlignment="1">
      <alignment horizontal="center" vertical="center" wrapText="1"/>
    </xf>
    <xf numFmtId="0" fontId="94" fillId="14" borderId="4" xfId="0" applyFont="1" applyFill="1" applyBorder="1" applyAlignment="1">
      <alignment horizontal="center" vertical="center" wrapText="1"/>
    </xf>
    <xf numFmtId="0" fontId="97" fillId="0" borderId="6" xfId="0" applyFont="1" applyBorder="1" applyAlignment="1">
      <alignment horizontal="center" vertical="center" wrapText="1"/>
    </xf>
    <xf numFmtId="0" fontId="97" fillId="0" borderId="6" xfId="0" applyFont="1" applyBorder="1" applyAlignment="1">
      <alignment horizontal="center" vertical="center"/>
    </xf>
    <xf numFmtId="0" fontId="98" fillId="5" borderId="176" xfId="0" applyFont="1" applyFill="1" applyBorder="1" applyAlignment="1">
      <alignment horizontal="center" vertical="center" wrapText="1"/>
    </xf>
    <xf numFmtId="0" fontId="98" fillId="5" borderId="178" xfId="0" applyFont="1" applyFill="1" applyBorder="1" applyAlignment="1">
      <alignment horizontal="center" vertical="center" wrapText="1"/>
    </xf>
    <xf numFmtId="0" fontId="102" fillId="7" borderId="187" xfId="0" applyFont="1" applyFill="1" applyBorder="1" applyAlignment="1">
      <alignment horizontal="center" vertical="center" wrapText="1"/>
    </xf>
    <xf numFmtId="0" fontId="102" fillId="7" borderId="41" xfId="0" applyFont="1" applyFill="1" applyBorder="1" applyAlignment="1">
      <alignment horizontal="center" vertical="center" wrapText="1"/>
    </xf>
    <xf numFmtId="176" fontId="86" fillId="13" borderId="187" xfId="0" applyNumberFormat="1" applyFont="1" applyFill="1" applyBorder="1" applyAlignment="1">
      <alignment horizontal="center" vertical="center" wrapText="1"/>
    </xf>
    <xf numFmtId="176" fontId="86" fillId="13" borderId="41" xfId="0" applyNumberFormat="1" applyFont="1" applyFill="1" applyBorder="1" applyAlignment="1">
      <alignment horizontal="center" vertical="center" wrapText="1"/>
    </xf>
    <xf numFmtId="184" fontId="96" fillId="7" borderId="6" xfId="0" applyNumberFormat="1" applyFont="1" applyFill="1" applyBorder="1" applyAlignment="1">
      <alignment horizontal="center" vertical="center" wrapText="1"/>
    </xf>
    <xf numFmtId="14" fontId="26" fillId="16" borderId="38" xfId="11" applyNumberFormat="1" applyFont="1" applyFill="1" applyBorder="1" applyAlignment="1">
      <alignment horizontal="center" vertical="center" shrinkToFit="1"/>
    </xf>
    <xf numFmtId="14" fontId="26" fillId="16" borderId="39" xfId="11" applyNumberFormat="1" applyFont="1" applyFill="1" applyBorder="1" applyAlignment="1">
      <alignment horizontal="center" vertical="center" shrinkToFit="1"/>
    </xf>
    <xf numFmtId="0" fontId="43" fillId="13" borderId="186" xfId="11" applyFont="1" applyFill="1" applyBorder="1" applyAlignment="1">
      <alignment horizontal="center" vertical="center" shrinkToFit="1"/>
    </xf>
    <xf numFmtId="0" fontId="43" fillId="13" borderId="187" xfId="11" applyFont="1" applyFill="1" applyBorder="1" applyAlignment="1">
      <alignment horizontal="center" vertical="center" shrinkToFit="1"/>
    </xf>
    <xf numFmtId="0" fontId="94" fillId="0" borderId="182" xfId="0" applyFont="1" applyBorder="1" applyAlignment="1">
      <alignment horizontal="center" vertical="center" wrapText="1"/>
    </xf>
    <xf numFmtId="0" fontId="94" fillId="0" borderId="109" xfId="0" applyFont="1" applyBorder="1" applyAlignment="1">
      <alignment horizontal="center" vertical="center" wrapText="1"/>
    </xf>
    <xf numFmtId="0" fontId="94" fillId="0" borderId="35" xfId="0" applyFont="1" applyBorder="1" applyAlignment="1">
      <alignment horizontal="left" vertical="center" wrapText="1"/>
    </xf>
    <xf numFmtId="176" fontId="105" fillId="16" borderId="6" xfId="0" applyNumberFormat="1" applyFont="1" applyFill="1" applyBorder="1" applyAlignment="1">
      <alignment horizontal="center" vertical="center" wrapText="1"/>
    </xf>
    <xf numFmtId="0" fontId="94" fillId="0" borderId="36" xfId="0" applyFont="1" applyBorder="1" applyAlignment="1">
      <alignment horizontal="left" vertical="center" wrapText="1"/>
    </xf>
    <xf numFmtId="0" fontId="98" fillId="13" borderId="187" xfId="0" applyFont="1" applyFill="1" applyBorder="1" applyAlignment="1">
      <alignment horizontal="center" vertical="center" wrapText="1"/>
    </xf>
    <xf numFmtId="0" fontId="98" fillId="13" borderId="186" xfId="0" applyFont="1" applyFill="1" applyBorder="1" applyAlignment="1">
      <alignment horizontal="center" vertical="center" wrapText="1"/>
    </xf>
    <xf numFmtId="0" fontId="98" fillId="13" borderId="193" xfId="0" applyFont="1" applyFill="1" applyBorder="1" applyAlignment="1">
      <alignment horizontal="center" vertical="center" wrapText="1"/>
    </xf>
    <xf numFmtId="0" fontId="98" fillId="13" borderId="41" xfId="0" applyFont="1" applyFill="1" applyBorder="1" applyAlignment="1">
      <alignment horizontal="center" vertical="center" wrapText="1"/>
    </xf>
    <xf numFmtId="0" fontId="94" fillId="14" borderId="25" xfId="0" applyFont="1" applyFill="1" applyBorder="1" applyAlignment="1">
      <alignment horizontal="center" vertical="center"/>
    </xf>
    <xf numFmtId="0" fontId="94" fillId="14" borderId="30" xfId="0" applyFont="1" applyFill="1" applyBorder="1" applyAlignment="1">
      <alignment horizontal="center" vertical="center"/>
    </xf>
    <xf numFmtId="0" fontId="94" fillId="14" borderId="4" xfId="0" applyFont="1" applyFill="1" applyBorder="1" applyAlignment="1">
      <alignment horizontal="center" vertical="center"/>
    </xf>
    <xf numFmtId="0" fontId="94" fillId="0" borderId="6" xfId="0" applyFont="1" applyBorder="1" applyAlignment="1">
      <alignment horizontal="center" vertical="center" wrapText="1"/>
    </xf>
    <xf numFmtId="0" fontId="98" fillId="13" borderId="121" xfId="0" applyFont="1" applyFill="1" applyBorder="1" applyAlignment="1">
      <alignment horizontal="center" vertical="center" wrapText="1"/>
    </xf>
    <xf numFmtId="0" fontId="98" fillId="13" borderId="185" xfId="0" applyFont="1" applyFill="1" applyBorder="1" applyAlignment="1">
      <alignment horizontal="center" vertical="center" wrapText="1"/>
    </xf>
    <xf numFmtId="0" fontId="97" fillId="0" borderId="3" xfId="0" applyFont="1" applyBorder="1" applyAlignment="1">
      <alignment horizontal="center" vertical="center" textRotation="255"/>
    </xf>
    <xf numFmtId="0" fontId="97" fillId="0" borderId="5" xfId="0" applyFont="1" applyBorder="1" applyAlignment="1">
      <alignment horizontal="center" vertical="center" textRotation="255"/>
    </xf>
    <xf numFmtId="0" fontId="97" fillId="0" borderId="188" xfId="0" applyFont="1" applyBorder="1" applyAlignment="1">
      <alignment horizontal="center" vertical="center" textRotation="255"/>
    </xf>
    <xf numFmtId="0" fontId="97" fillId="0" borderId="202" xfId="0" applyFont="1" applyBorder="1" applyAlignment="1">
      <alignment horizontal="center" vertical="center" textRotation="255"/>
    </xf>
    <xf numFmtId="0" fontId="102" fillId="15" borderId="179" xfId="0" applyFont="1" applyFill="1" applyBorder="1" applyAlignment="1">
      <alignment horizontal="center" vertical="center" wrapText="1"/>
    </xf>
    <xf numFmtId="0" fontId="102" fillId="15" borderId="175" xfId="0" applyFont="1" applyFill="1" applyBorder="1" applyAlignment="1">
      <alignment horizontal="center" vertical="center" wrapText="1"/>
    </xf>
    <xf numFmtId="0" fontId="102" fillId="15" borderId="180" xfId="0" applyFont="1" applyFill="1" applyBorder="1" applyAlignment="1">
      <alignment horizontal="center" vertical="center" wrapText="1"/>
    </xf>
    <xf numFmtId="186" fontId="43" fillId="13" borderId="190" xfId="0" applyNumberFormat="1" applyFont="1" applyFill="1" applyBorder="1" applyAlignment="1">
      <alignment horizontal="center" vertical="center"/>
    </xf>
    <xf numFmtId="186" fontId="43" fillId="13" borderId="218" xfId="0" applyNumberFormat="1" applyFont="1" applyFill="1" applyBorder="1" applyAlignment="1">
      <alignment horizontal="center" vertical="center"/>
    </xf>
    <xf numFmtId="0" fontId="143" fillId="14" borderId="6" xfId="0" applyFont="1" applyFill="1" applyBorder="1" applyAlignment="1">
      <alignment horizontal="center" vertical="center" wrapText="1"/>
    </xf>
    <xf numFmtId="0" fontId="43" fillId="13" borderId="142" xfId="0" applyFont="1" applyFill="1" applyBorder="1" applyAlignment="1">
      <alignment horizontal="center" vertical="center" shrinkToFit="1"/>
    </xf>
    <xf numFmtId="0" fontId="43" fillId="13" borderId="122" xfId="0" applyFont="1" applyFill="1" applyBorder="1" applyAlignment="1">
      <alignment horizontal="center" vertical="center" shrinkToFit="1"/>
    </xf>
    <xf numFmtId="0" fontId="43" fillId="13" borderId="183" xfId="0" applyFont="1" applyFill="1" applyBorder="1" applyAlignment="1">
      <alignment horizontal="center" vertical="center" shrinkToFit="1"/>
    </xf>
    <xf numFmtId="0" fontId="43" fillId="13" borderId="61" xfId="0" applyFont="1" applyFill="1" applyBorder="1" applyAlignment="1">
      <alignment horizontal="center" vertical="center" shrinkToFit="1"/>
    </xf>
    <xf numFmtId="14" fontId="26" fillId="4" borderId="137" xfId="0" applyNumberFormat="1" applyFont="1" applyFill="1" applyBorder="1" applyAlignment="1">
      <alignment horizontal="center" vertical="center" shrinkToFit="1"/>
    </xf>
    <xf numFmtId="14" fontId="26" fillId="4" borderId="33" xfId="0" applyNumberFormat="1" applyFont="1" applyFill="1" applyBorder="1" applyAlignment="1">
      <alignment horizontal="center" vertical="center" shrinkToFit="1"/>
    </xf>
    <xf numFmtId="0" fontId="102" fillId="7" borderId="179" xfId="0" applyFont="1" applyFill="1" applyBorder="1" applyAlignment="1">
      <alignment horizontal="center" vertical="center" wrapText="1"/>
    </xf>
    <xf numFmtId="0" fontId="102" fillId="7" borderId="180" xfId="0" applyFont="1" applyFill="1" applyBorder="1" applyAlignment="1">
      <alignment horizontal="center" vertical="center" wrapText="1"/>
    </xf>
    <xf numFmtId="0" fontId="96" fillId="7" borderId="174" xfId="0" applyFont="1" applyFill="1" applyBorder="1" applyAlignment="1">
      <alignment horizontal="center" vertical="center" wrapText="1"/>
    </xf>
    <xf numFmtId="0" fontId="96" fillId="7" borderId="175" xfId="0" applyFont="1" applyFill="1" applyBorder="1" applyAlignment="1">
      <alignment horizontal="center" vertical="center" wrapText="1"/>
    </xf>
    <xf numFmtId="0" fontId="96" fillId="7" borderId="29" xfId="0" applyFont="1" applyFill="1" applyBorder="1" applyAlignment="1">
      <alignment horizontal="center" vertical="center" wrapText="1"/>
    </xf>
    <xf numFmtId="0" fontId="105" fillId="16" borderId="173" xfId="0" applyFont="1" applyFill="1" applyBorder="1" applyAlignment="1">
      <alignment horizontal="center" vertical="center" wrapText="1"/>
    </xf>
    <xf numFmtId="0" fontId="105" fillId="16" borderId="20" xfId="0" applyFont="1" applyFill="1" applyBorder="1" applyAlignment="1">
      <alignment horizontal="center" vertical="center" wrapText="1"/>
    </xf>
    <xf numFmtId="0" fontId="105" fillId="16" borderId="33" xfId="0" applyFont="1" applyFill="1" applyBorder="1" applyAlignment="1">
      <alignment horizontal="center" vertical="center" wrapText="1"/>
    </xf>
    <xf numFmtId="0" fontId="94" fillId="0" borderId="139" xfId="0" applyFont="1" applyBorder="1" applyAlignment="1">
      <alignment horizontal="center" vertical="center" wrapText="1"/>
    </xf>
    <xf numFmtId="0" fontId="86" fillId="13" borderId="122" xfId="0" applyFont="1" applyFill="1" applyBorder="1" applyAlignment="1">
      <alignment horizontal="center" vertical="center" wrapText="1"/>
    </xf>
    <xf numFmtId="0" fontId="86" fillId="13" borderId="77" xfId="0" applyFont="1" applyFill="1" applyBorder="1" applyAlignment="1">
      <alignment horizontal="center" vertical="center" wrapText="1"/>
    </xf>
    <xf numFmtId="0" fontId="94" fillId="14" borderId="202" xfId="0" applyFont="1" applyFill="1" applyBorder="1" applyAlignment="1">
      <alignment horizontal="center" vertical="center" wrapText="1"/>
    </xf>
    <xf numFmtId="0" fontId="94" fillId="14" borderId="3" xfId="0" applyFont="1" applyFill="1" applyBorder="1" applyAlignment="1">
      <alignment horizontal="center" vertical="center" wrapText="1"/>
    </xf>
    <xf numFmtId="0" fontId="94" fillId="14" borderId="188" xfId="0" applyFont="1" applyFill="1" applyBorder="1" applyAlignment="1">
      <alignment horizontal="center" vertical="center" wrapText="1"/>
    </xf>
    <xf numFmtId="0" fontId="103" fillId="13" borderId="6" xfId="0" quotePrefix="1" applyFont="1" applyFill="1" applyBorder="1" applyAlignment="1">
      <alignment horizontal="center" vertical="center" wrapText="1"/>
    </xf>
    <xf numFmtId="0" fontId="103" fillId="13" borderId="23" xfId="0" quotePrefix="1" applyFont="1" applyFill="1" applyBorder="1" applyAlignment="1">
      <alignment horizontal="center" vertical="center" wrapText="1"/>
    </xf>
    <xf numFmtId="0" fontId="98" fillId="13" borderId="190" xfId="0" applyFont="1" applyFill="1" applyBorder="1" applyAlignment="1">
      <alignment horizontal="center" vertical="center" wrapText="1"/>
    </xf>
    <xf numFmtId="0" fontId="98" fillId="13" borderId="191" xfId="0" applyFont="1" applyFill="1" applyBorder="1" applyAlignment="1">
      <alignment horizontal="center" vertical="center" wrapText="1"/>
    </xf>
    <xf numFmtId="0" fontId="98" fillId="13" borderId="192" xfId="0" applyFont="1" applyFill="1" applyBorder="1" applyAlignment="1">
      <alignment horizontal="center" vertical="center" wrapText="1"/>
    </xf>
    <xf numFmtId="0" fontId="98" fillId="13" borderId="195" xfId="0" applyFont="1" applyFill="1" applyBorder="1" applyAlignment="1">
      <alignment horizontal="center" vertical="center" wrapText="1"/>
    </xf>
    <xf numFmtId="0" fontId="98" fillId="13" borderId="202" xfId="0" applyFont="1" applyFill="1" applyBorder="1" applyAlignment="1">
      <alignment horizontal="center" vertical="center" wrapText="1"/>
    </xf>
    <xf numFmtId="0" fontId="98" fillId="13" borderId="196" xfId="0" applyFont="1" applyFill="1" applyBorder="1" applyAlignment="1">
      <alignment horizontal="center" vertical="center" wrapText="1"/>
    </xf>
    <xf numFmtId="0" fontId="103" fillId="13" borderId="25" xfId="0" applyFont="1" applyFill="1" applyBorder="1" applyAlignment="1">
      <alignment horizontal="center" vertical="center" wrapText="1"/>
    </xf>
    <xf numFmtId="0" fontId="103" fillId="13" borderId="30" xfId="0" applyFont="1" applyFill="1" applyBorder="1" applyAlignment="1">
      <alignment horizontal="center" vertical="center" wrapText="1"/>
    </xf>
    <xf numFmtId="0" fontId="103" fillId="13" borderId="185" xfId="0" applyFont="1" applyFill="1" applyBorder="1" applyAlignment="1">
      <alignment horizontal="center" vertical="center" wrapText="1"/>
    </xf>
    <xf numFmtId="0" fontId="86" fillId="13" borderId="121" xfId="0" applyFont="1" applyFill="1" applyBorder="1" applyAlignment="1">
      <alignment horizontal="center" vertical="center" wrapText="1"/>
    </xf>
    <xf numFmtId="0" fontId="86" fillId="13" borderId="30" xfId="0" applyFont="1" applyFill="1" applyBorder="1" applyAlignment="1">
      <alignment horizontal="center" vertical="center" wrapText="1"/>
    </xf>
    <xf numFmtId="0" fontId="86" fillId="13" borderId="185" xfId="0" applyFont="1" applyFill="1" applyBorder="1" applyAlignment="1">
      <alignment horizontal="center" vertical="center" wrapText="1"/>
    </xf>
    <xf numFmtId="0" fontId="103" fillId="13" borderId="6" xfId="0" applyFont="1" applyFill="1" applyBorder="1" applyAlignment="1">
      <alignment horizontal="center" vertical="center" wrapText="1"/>
    </xf>
    <xf numFmtId="0" fontId="143" fillId="14" borderId="4" xfId="0" applyFont="1" applyFill="1" applyBorder="1" applyAlignment="1">
      <alignment horizontal="center" vertical="center" wrapText="1"/>
    </xf>
    <xf numFmtId="0" fontId="98" fillId="13" borderId="142" xfId="0" applyFont="1" applyFill="1" applyBorder="1" applyAlignment="1">
      <alignment horizontal="center" vertical="center" wrapText="1"/>
    </xf>
    <xf numFmtId="0" fontId="98" fillId="13" borderId="214" xfId="0" applyFont="1" applyFill="1" applyBorder="1" applyAlignment="1">
      <alignment horizontal="center" vertical="center" wrapText="1"/>
    </xf>
    <xf numFmtId="0" fontId="98" fillId="13" borderId="207" xfId="0" applyFont="1" applyFill="1" applyBorder="1" applyAlignment="1">
      <alignment horizontal="center" vertical="center" wrapText="1"/>
    </xf>
    <xf numFmtId="0" fontId="98" fillId="13" borderId="215" xfId="0" applyFont="1" applyFill="1" applyBorder="1" applyAlignment="1">
      <alignment horizontal="center" vertical="center" wrapText="1"/>
    </xf>
    <xf numFmtId="0" fontId="98" fillId="13" borderId="213" xfId="0" applyFont="1" applyFill="1" applyBorder="1" applyAlignment="1">
      <alignment horizontal="center" vertical="center" wrapText="1"/>
    </xf>
    <xf numFmtId="0" fontId="98" fillId="13" borderId="100" xfId="0" applyFont="1" applyFill="1" applyBorder="1" applyAlignment="1">
      <alignment horizontal="center" vertical="center" wrapText="1"/>
    </xf>
    <xf numFmtId="0" fontId="98" fillId="13" borderId="122" xfId="0" applyFont="1" applyFill="1" applyBorder="1" applyAlignment="1">
      <alignment horizontal="center" vertical="center" wrapText="1"/>
    </xf>
    <xf numFmtId="0" fontId="98" fillId="13" borderId="105" xfId="0" applyFont="1" applyFill="1" applyBorder="1" applyAlignment="1">
      <alignment horizontal="center" vertical="center" wrapText="1"/>
    </xf>
    <xf numFmtId="0" fontId="98" fillId="13" borderId="197" xfId="0" applyFont="1" applyFill="1" applyBorder="1" applyAlignment="1">
      <alignment horizontal="center" vertical="center" wrapText="1"/>
    </xf>
    <xf numFmtId="0" fontId="98" fillId="13" borderId="77" xfId="0" applyFont="1" applyFill="1" applyBorder="1" applyAlignment="1">
      <alignment horizontal="center" vertical="center" wrapText="1"/>
    </xf>
    <xf numFmtId="0" fontId="93" fillId="13" borderId="131" xfId="0" applyFont="1" applyFill="1" applyBorder="1" applyAlignment="1">
      <alignment horizontal="center" vertical="center"/>
    </xf>
    <xf numFmtId="0" fontId="93" fillId="13" borderId="132" xfId="0" applyFont="1" applyFill="1" applyBorder="1" applyAlignment="1">
      <alignment horizontal="center" vertical="center"/>
    </xf>
    <xf numFmtId="0" fontId="104" fillId="14" borderId="198" xfId="0" applyFont="1" applyFill="1" applyBorder="1" applyAlignment="1">
      <alignment horizontal="center" vertical="center"/>
    </xf>
    <xf numFmtId="0" fontId="104" fillId="14" borderId="202" xfId="0" applyFont="1" applyFill="1" applyBorder="1" applyAlignment="1">
      <alignment horizontal="center" vertical="center"/>
    </xf>
    <xf numFmtId="0" fontId="104" fillId="14" borderId="117" xfId="0" applyFont="1" applyFill="1" applyBorder="1" applyAlignment="1">
      <alignment horizontal="center" vertical="center"/>
    </xf>
    <xf numFmtId="0" fontId="104" fillId="0" borderId="4" xfId="0" applyFont="1" applyBorder="1" applyAlignment="1">
      <alignment horizontal="left" vertical="center"/>
    </xf>
    <xf numFmtId="0" fontId="86" fillId="14" borderId="30" xfId="0" applyFont="1" applyFill="1" applyBorder="1" applyAlignment="1">
      <alignment horizontal="center" vertical="center" wrapText="1"/>
    </xf>
    <xf numFmtId="0" fontId="86" fillId="14" borderId="32" xfId="0" applyFont="1" applyFill="1" applyBorder="1" applyAlignment="1">
      <alignment horizontal="center" vertical="center" wrapText="1"/>
    </xf>
    <xf numFmtId="0" fontId="102" fillId="7" borderId="175" xfId="0" applyFont="1" applyFill="1" applyBorder="1" applyAlignment="1">
      <alignment horizontal="center" vertical="center" wrapText="1"/>
    </xf>
    <xf numFmtId="0" fontId="102" fillId="7" borderId="29" xfId="0" applyFont="1" applyFill="1" applyBorder="1" applyAlignment="1">
      <alignment horizontal="center" vertical="center" wrapText="1"/>
    </xf>
    <xf numFmtId="0" fontId="104" fillId="0" borderId="6" xfId="0" applyFont="1" applyBorder="1" applyAlignment="1">
      <alignment horizontal="left" vertical="center"/>
    </xf>
    <xf numFmtId="0" fontId="104" fillId="0" borderId="23" xfId="0" applyFont="1" applyBorder="1" applyAlignment="1">
      <alignment horizontal="center" vertical="center"/>
    </xf>
    <xf numFmtId="0" fontId="104" fillId="0" borderId="138" xfId="0" applyFont="1" applyBorder="1" applyAlignment="1">
      <alignment horizontal="center" vertical="center"/>
    </xf>
    <xf numFmtId="0" fontId="102" fillId="15" borderId="244" xfId="0" applyFont="1" applyFill="1" applyBorder="1" applyAlignment="1">
      <alignment horizontal="center" vertical="center" wrapText="1"/>
    </xf>
    <xf numFmtId="0" fontId="102" fillId="15" borderId="153" xfId="0" applyFont="1" applyFill="1" applyBorder="1" applyAlignment="1">
      <alignment horizontal="center" vertical="center" wrapText="1"/>
    </xf>
    <xf numFmtId="0" fontId="102" fillId="15" borderId="245" xfId="0" applyFont="1" applyFill="1" applyBorder="1" applyAlignment="1">
      <alignment horizontal="center" vertical="center" wrapText="1"/>
    </xf>
    <xf numFmtId="0" fontId="94" fillId="14" borderId="114" xfId="0" applyFont="1" applyFill="1" applyBorder="1" applyAlignment="1">
      <alignment horizontal="center" vertical="center" wrapText="1"/>
    </xf>
    <xf numFmtId="0" fontId="94" fillId="14" borderId="89" xfId="0" applyFont="1" applyFill="1" applyBorder="1" applyAlignment="1">
      <alignment horizontal="center" vertical="center" wrapText="1"/>
    </xf>
    <xf numFmtId="0" fontId="94" fillId="14" borderId="10" xfId="0" applyFont="1" applyFill="1" applyBorder="1" applyAlignment="1">
      <alignment horizontal="center" vertical="center" wrapText="1"/>
    </xf>
    <xf numFmtId="0" fontId="94" fillId="14" borderId="81" xfId="0" applyFont="1" applyFill="1" applyBorder="1" applyAlignment="1">
      <alignment horizontal="center" vertical="center" wrapText="1"/>
    </xf>
    <xf numFmtId="0" fontId="103" fillId="0" borderId="235" xfId="0" applyFont="1" applyFill="1" applyBorder="1" applyAlignment="1">
      <alignment horizontal="center" vertical="center" wrapText="1"/>
    </xf>
    <xf numFmtId="0" fontId="103" fillId="0" borderId="236" xfId="0" applyFont="1" applyFill="1" applyBorder="1" applyAlignment="1">
      <alignment horizontal="center" vertical="center" wrapText="1"/>
    </xf>
    <xf numFmtId="0" fontId="103" fillId="0" borderId="237" xfId="0" applyFont="1" applyFill="1" applyBorder="1" applyAlignment="1">
      <alignment horizontal="center" vertical="center" wrapText="1"/>
    </xf>
    <xf numFmtId="0" fontId="94" fillId="16" borderId="238" xfId="0" applyFont="1" applyFill="1" applyBorder="1" applyAlignment="1">
      <alignment horizontal="center" vertical="center" wrapText="1"/>
    </xf>
    <xf numFmtId="0" fontId="94" fillId="16" borderId="237" xfId="0" applyFont="1" applyFill="1" applyBorder="1" applyAlignment="1">
      <alignment horizontal="center" vertical="center" wrapText="1"/>
    </xf>
    <xf numFmtId="0" fontId="94" fillId="14" borderId="247" xfId="0" applyFont="1" applyFill="1" applyBorder="1" applyAlignment="1">
      <alignment horizontal="center" vertical="center" wrapText="1"/>
    </xf>
    <xf numFmtId="0" fontId="94" fillId="14" borderId="248" xfId="0" applyFont="1" applyFill="1" applyBorder="1" applyAlignment="1">
      <alignment horizontal="center" vertical="center" wrapText="1"/>
    </xf>
    <xf numFmtId="0" fontId="94" fillId="14" borderId="249" xfId="0" applyFont="1" applyFill="1" applyBorder="1" applyAlignment="1">
      <alignment horizontal="center" vertical="center" wrapText="1"/>
    </xf>
    <xf numFmtId="0" fontId="98" fillId="0" borderId="0" xfId="0" applyFont="1" applyAlignment="1">
      <alignment horizontal="left" vertical="center"/>
    </xf>
    <xf numFmtId="0" fontId="98" fillId="13" borderId="59" xfId="0" applyFont="1" applyFill="1" applyBorder="1" applyAlignment="1">
      <alignment horizontal="center" vertical="center" wrapText="1"/>
    </xf>
    <xf numFmtId="0" fontId="98" fillId="13" borderId="168" xfId="0" applyFont="1" applyFill="1" applyBorder="1" applyAlignment="1">
      <alignment horizontal="center" vertical="center" wrapText="1"/>
    </xf>
    <xf numFmtId="0" fontId="94" fillId="14" borderId="111" xfId="0" applyFont="1" applyFill="1" applyBorder="1" applyAlignment="1">
      <alignment horizontal="center" vertical="center" wrapText="1"/>
    </xf>
    <xf numFmtId="0" fontId="94" fillId="14" borderId="246" xfId="0" applyFont="1" applyFill="1" applyBorder="1" applyAlignment="1">
      <alignment horizontal="center" vertical="center" wrapText="1"/>
    </xf>
    <xf numFmtId="0" fontId="94" fillId="16" borderId="110" xfId="0" applyFont="1" applyFill="1" applyBorder="1" applyAlignment="1">
      <alignment horizontal="center" vertical="center" wrapText="1"/>
    </xf>
    <xf numFmtId="0" fontId="94" fillId="16" borderId="58" xfId="0" applyFont="1" applyFill="1" applyBorder="1" applyAlignment="1">
      <alignment horizontal="center" vertical="center" wrapText="1"/>
    </xf>
    <xf numFmtId="0" fontId="94" fillId="16" borderId="243" xfId="0" applyFont="1" applyFill="1" applyBorder="1" applyAlignment="1">
      <alignment horizontal="center" vertical="center" wrapText="1"/>
    </xf>
    <xf numFmtId="0" fontId="98" fillId="13" borderId="242" xfId="0" applyFont="1" applyFill="1" applyBorder="1" applyAlignment="1">
      <alignment horizontal="center" vertical="center" wrapText="1"/>
    </xf>
    <xf numFmtId="0" fontId="98" fillId="13" borderId="167" xfId="0" applyFont="1" applyFill="1" applyBorder="1" applyAlignment="1">
      <alignment horizontal="center" vertical="center" wrapText="1"/>
    </xf>
    <xf numFmtId="0" fontId="94" fillId="14" borderId="147" xfId="0" applyFont="1" applyFill="1" applyBorder="1" applyAlignment="1">
      <alignment horizontal="center" vertical="center" wrapText="1"/>
    </xf>
    <xf numFmtId="0" fontId="94" fillId="14" borderId="57" xfId="0" applyFont="1" applyFill="1" applyBorder="1" applyAlignment="1">
      <alignment horizontal="center" vertical="center" wrapText="1"/>
    </xf>
    <xf numFmtId="0" fontId="94" fillId="14" borderId="150" xfId="0" applyFont="1" applyFill="1" applyBorder="1" applyAlignment="1">
      <alignment horizontal="center" vertical="center" wrapText="1"/>
    </xf>
    <xf numFmtId="0" fontId="94" fillId="14" borderId="15" xfId="0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left" vertical="center"/>
    </xf>
    <xf numFmtId="0" fontId="98" fillId="13" borderId="90" xfId="0" applyFont="1" applyFill="1" applyBorder="1" applyAlignment="1">
      <alignment horizontal="center" vertical="center" wrapText="1"/>
    </xf>
    <xf numFmtId="0" fontId="98" fillId="13" borderId="54" xfId="0" applyFont="1" applyFill="1" applyBorder="1" applyAlignment="1">
      <alignment horizontal="center" vertical="center" wrapText="1"/>
    </xf>
    <xf numFmtId="0" fontId="94" fillId="0" borderId="239" xfId="0" applyFont="1" applyBorder="1" applyAlignment="1">
      <alignment horizontal="left" vertical="center"/>
    </xf>
    <xf numFmtId="0" fontId="94" fillId="14" borderId="240" xfId="0" applyFont="1" applyFill="1" applyBorder="1" applyAlignment="1">
      <alignment horizontal="center" vertical="center" wrapText="1"/>
    </xf>
    <xf numFmtId="0" fontId="94" fillId="14" borderId="241" xfId="0" applyFont="1" applyFill="1" applyBorder="1" applyAlignment="1">
      <alignment horizontal="center" vertical="center" wrapText="1"/>
    </xf>
    <xf numFmtId="49" fontId="94" fillId="16" borderId="233" xfId="0" applyNumberFormat="1" applyFont="1" applyFill="1" applyBorder="1" applyAlignment="1">
      <alignment horizontal="center" vertical="center" wrapText="1"/>
    </xf>
    <xf numFmtId="0" fontId="94" fillId="16" borderId="234" xfId="0" applyNumberFormat="1" applyFont="1" applyFill="1" applyBorder="1" applyAlignment="1">
      <alignment horizontal="center" vertical="center" wrapText="1"/>
    </xf>
    <xf numFmtId="0" fontId="98" fillId="13" borderId="227" xfId="0" applyFont="1" applyFill="1" applyBorder="1" applyAlignment="1">
      <alignment horizontal="center" vertical="center" wrapText="1"/>
    </xf>
    <xf numFmtId="0" fontId="98" fillId="13" borderId="228" xfId="0" applyFont="1" applyFill="1" applyBorder="1" applyAlignment="1">
      <alignment horizontal="center" vertical="center" wrapText="1"/>
    </xf>
    <xf numFmtId="0" fontId="98" fillId="13" borderId="229" xfId="0" applyFont="1" applyFill="1" applyBorder="1" applyAlignment="1">
      <alignment horizontal="center" vertical="center" wrapText="1"/>
    </xf>
    <xf numFmtId="0" fontId="98" fillId="13" borderId="75" xfId="0" applyFont="1" applyFill="1" applyBorder="1" applyAlignment="1">
      <alignment horizontal="center" vertical="center" wrapText="1"/>
    </xf>
    <xf numFmtId="0" fontId="98" fillId="13" borderId="115" xfId="0" applyFont="1" applyFill="1" applyBorder="1" applyAlignment="1">
      <alignment horizontal="center" vertical="center" wrapText="1"/>
    </xf>
    <xf numFmtId="0" fontId="98" fillId="13" borderId="230" xfId="0" applyFont="1" applyFill="1" applyBorder="1" applyAlignment="1">
      <alignment horizontal="center" vertical="center" wrapText="1"/>
    </xf>
    <xf numFmtId="0" fontId="98" fillId="13" borderId="231" xfId="0" applyFont="1" applyFill="1" applyBorder="1" applyAlignment="1">
      <alignment horizontal="center" vertical="center" wrapText="1"/>
    </xf>
    <xf numFmtId="0" fontId="102" fillId="7" borderId="18" xfId="0" applyFont="1" applyFill="1" applyBorder="1" applyAlignment="1">
      <alignment horizontal="center" vertical="center" wrapText="1"/>
    </xf>
    <xf numFmtId="0" fontId="102" fillId="7" borderId="232" xfId="0" applyFont="1" applyFill="1" applyBorder="1" applyAlignment="1">
      <alignment horizontal="center" vertical="center" wrapText="1"/>
    </xf>
    <xf numFmtId="9" fontId="48" fillId="4" borderId="177" xfId="0" applyNumberFormat="1" applyFont="1" applyFill="1" applyBorder="1" applyAlignment="1">
      <alignment horizontal="center" vertical="center"/>
    </xf>
    <xf numFmtId="9" fontId="48" fillId="4" borderId="36" xfId="0" applyNumberFormat="1" applyFont="1" applyFill="1" applyBorder="1" applyAlignment="1">
      <alignment horizontal="center" vertical="center"/>
    </xf>
    <xf numFmtId="9" fontId="48" fillId="4" borderId="29" xfId="0" applyNumberFormat="1" applyFont="1" applyFill="1" applyBorder="1" applyAlignment="1">
      <alignment horizontal="center" vertical="center"/>
    </xf>
    <xf numFmtId="0" fontId="52" fillId="0" borderId="210" xfId="0" applyFont="1" applyBorder="1" applyAlignment="1">
      <alignment horizontal="center" vertical="center" wrapText="1"/>
    </xf>
    <xf numFmtId="0" fontId="52" fillId="0" borderId="211" xfId="0" applyFont="1" applyBorder="1" applyAlignment="1">
      <alignment horizontal="center" vertical="center" wrapText="1"/>
    </xf>
    <xf numFmtId="0" fontId="52" fillId="0" borderId="254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justify" vertical="center" wrapText="1"/>
    </xf>
    <xf numFmtId="0" fontId="52" fillId="0" borderId="255" xfId="0" applyFont="1" applyBorder="1" applyAlignment="1">
      <alignment horizontal="justify" vertical="center" wrapText="1"/>
    </xf>
    <xf numFmtId="0" fontId="52" fillId="0" borderId="252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9" fontId="48" fillId="0" borderId="177" xfId="0" applyNumberFormat="1" applyFont="1" applyBorder="1" applyAlignment="1">
      <alignment horizontal="center" vertical="center"/>
    </xf>
    <xf numFmtId="9" fontId="48" fillId="0" borderId="36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0" borderId="48" xfId="0" applyFont="1" applyBorder="1" applyAlignment="1">
      <alignment horizontal="center" vertical="center" wrapText="1"/>
    </xf>
    <xf numFmtId="0" fontId="52" fillId="0" borderId="95" xfId="0" applyFont="1" applyBorder="1" applyAlignment="1">
      <alignment horizontal="center" vertical="center" wrapText="1"/>
    </xf>
    <xf numFmtId="9" fontId="48" fillId="0" borderId="174" xfId="0" applyNumberFormat="1" applyFont="1" applyBorder="1" applyAlignment="1">
      <alignment horizontal="center" vertical="center"/>
    </xf>
    <xf numFmtId="0" fontId="50" fillId="0" borderId="0" xfId="0" applyFont="1" applyBorder="1" applyAlignment="1">
      <alignment horizontal="left" vertical="center" wrapText="1" indent="1"/>
    </xf>
    <xf numFmtId="0" fontId="52" fillId="3" borderId="250" xfId="0" applyFont="1" applyFill="1" applyBorder="1" applyAlignment="1">
      <alignment horizontal="center" vertical="center" wrapText="1"/>
    </xf>
    <xf numFmtId="0" fontId="52" fillId="3" borderId="251" xfId="0" applyFont="1" applyFill="1" applyBorder="1" applyAlignment="1">
      <alignment horizontal="center" vertical="center" wrapText="1"/>
    </xf>
    <xf numFmtId="0" fontId="52" fillId="0" borderId="253" xfId="0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 wrapText="1" indent="1"/>
    </xf>
    <xf numFmtId="0" fontId="52" fillId="0" borderId="110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justify" vertical="center" wrapText="1"/>
    </xf>
    <xf numFmtId="0" fontId="99" fillId="0" borderId="0" xfId="13" quotePrefix="1" applyFont="1" applyAlignment="1">
      <alignment horizontal="left" vertical="top" wrapText="1"/>
    </xf>
    <xf numFmtId="0" fontId="99" fillId="0" borderId="0" xfId="13" applyFont="1" applyAlignment="1">
      <alignment horizontal="left" vertical="top"/>
    </xf>
    <xf numFmtId="0" fontId="99" fillId="19" borderId="195" xfId="13" applyFont="1" applyFill="1" applyBorder="1" applyAlignment="1">
      <alignment horizontal="center" vertical="center" wrapText="1"/>
    </xf>
    <xf numFmtId="0" fontId="99" fillId="19" borderId="202" xfId="13" applyFont="1" applyFill="1" applyBorder="1" applyAlignment="1">
      <alignment horizontal="center" vertical="center" wrapText="1"/>
    </xf>
    <xf numFmtId="0" fontId="99" fillId="19" borderId="117" xfId="13" applyFont="1" applyFill="1" applyBorder="1" applyAlignment="1">
      <alignment horizontal="center" vertical="center" wrapText="1"/>
    </xf>
    <xf numFmtId="0" fontId="99" fillId="19" borderId="121" xfId="13" applyFont="1" applyFill="1" applyBorder="1" applyAlignment="1">
      <alignment horizontal="center" vertical="center" wrapText="1"/>
    </xf>
    <xf numFmtId="0" fontId="99" fillId="19" borderId="30" xfId="13" applyFont="1" applyFill="1" applyBorder="1" applyAlignment="1">
      <alignment horizontal="center" vertical="center" wrapText="1"/>
    </xf>
    <xf numFmtId="0" fontId="99" fillId="19" borderId="32" xfId="13" applyFont="1" applyFill="1" applyBorder="1" applyAlignment="1">
      <alignment horizontal="center" vertical="center" wrapText="1"/>
    </xf>
    <xf numFmtId="0" fontId="87" fillId="30" borderId="143" xfId="13" applyFont="1" applyFill="1" applyBorder="1" applyAlignment="1">
      <alignment horizontal="left" vertical="center" wrapText="1"/>
    </xf>
    <xf numFmtId="0" fontId="87" fillId="30" borderId="52" xfId="13" applyFont="1" applyFill="1" applyBorder="1" applyAlignment="1">
      <alignment horizontal="left" vertical="center" wrapText="1"/>
    </xf>
    <xf numFmtId="0" fontId="87" fillId="30" borderId="140" xfId="13" applyFont="1" applyFill="1" applyBorder="1" applyAlignment="1">
      <alignment horizontal="left" vertical="center" wrapText="1"/>
    </xf>
    <xf numFmtId="0" fontId="50" fillId="0" borderId="10" xfId="5" applyFont="1" applyBorder="1" applyAlignment="1">
      <alignment horizontal="center" vertical="center" wrapText="1"/>
    </xf>
    <xf numFmtId="0" fontId="58" fillId="0" borderId="57" xfId="5" applyFont="1" applyBorder="1" applyAlignment="1">
      <alignment horizontal="center" vertical="center"/>
    </xf>
    <xf numFmtId="0" fontId="58" fillId="0" borderId="81" xfId="5" applyFont="1" applyBorder="1" applyAlignment="1">
      <alignment horizontal="center" vertical="center"/>
    </xf>
    <xf numFmtId="0" fontId="58" fillId="0" borderId="204" xfId="5" applyFont="1" applyBorder="1" applyAlignment="1">
      <alignment horizontal="center" vertical="center"/>
    </xf>
    <xf numFmtId="0" fontId="58" fillId="0" borderId="262" xfId="5" applyFont="1" applyBorder="1" applyAlignment="1">
      <alignment horizontal="center" vertical="center"/>
    </xf>
    <xf numFmtId="0" fontId="49" fillId="0" borderId="263" xfId="5" applyFont="1" applyBorder="1" applyAlignment="1">
      <alignment horizontal="center" vertical="center" wrapText="1"/>
    </xf>
    <xf numFmtId="0" fontId="49" fillId="0" borderId="264" xfId="5" applyFont="1" applyBorder="1" applyAlignment="1">
      <alignment horizontal="center" vertical="center" wrapText="1"/>
    </xf>
    <xf numFmtId="0" fontId="49" fillId="0" borderId="265" xfId="5" applyFont="1" applyBorder="1" applyAlignment="1">
      <alignment horizontal="center" vertical="center" wrapText="1"/>
    </xf>
    <xf numFmtId="0" fontId="52" fillId="0" borderId="261" xfId="5" applyFont="1" applyBorder="1" applyAlignment="1">
      <alignment horizontal="left" vertical="center" wrapText="1"/>
    </xf>
    <xf numFmtId="0" fontId="48" fillId="0" borderId="57" xfId="5" applyFont="1" applyBorder="1" applyAlignment="1">
      <alignment horizontal="left" vertical="center"/>
    </xf>
    <xf numFmtId="0" fontId="48" fillId="0" borderId="262" xfId="5" applyFont="1" applyBorder="1" applyAlignment="1">
      <alignment horizontal="left" vertical="center"/>
    </xf>
    <xf numFmtId="0" fontId="50" fillId="0" borderId="57" xfId="5" applyFont="1" applyBorder="1" applyAlignment="1">
      <alignment horizontal="center" vertical="center" wrapText="1"/>
    </xf>
    <xf numFmtId="0" fontId="50" fillId="0" borderId="81" xfId="5" applyFont="1" applyBorder="1" applyAlignment="1">
      <alignment horizontal="center" vertical="center" wrapText="1"/>
    </xf>
    <xf numFmtId="0" fontId="50" fillId="0" borderId="204" xfId="5" applyFont="1" applyBorder="1" applyAlignment="1">
      <alignment horizontal="center" vertical="center" wrapText="1"/>
    </xf>
    <xf numFmtId="0" fontId="50" fillId="0" borderId="262" xfId="5" applyFont="1" applyBorder="1" applyAlignment="1">
      <alignment horizontal="center" vertical="center" wrapText="1"/>
    </xf>
    <xf numFmtId="0" fontId="52" fillId="0" borderId="261" xfId="5" applyFont="1" applyBorder="1" applyAlignment="1">
      <alignment horizontal="center" vertical="center" wrapText="1"/>
    </xf>
    <xf numFmtId="0" fontId="48" fillId="0" borderId="81" xfId="5" applyFont="1" applyBorder="1" applyAlignment="1">
      <alignment horizontal="center" vertical="center"/>
    </xf>
    <xf numFmtId="0" fontId="52" fillId="0" borderId="10" xfId="5" applyFont="1" applyBorder="1" applyAlignment="1">
      <alignment horizontal="center" vertical="center" wrapText="1"/>
    </xf>
    <xf numFmtId="0" fontId="52" fillId="0" borderId="13" xfId="5" applyFont="1" applyBorder="1" applyAlignment="1">
      <alignment horizontal="center" vertical="center" wrapText="1"/>
    </xf>
    <xf numFmtId="0" fontId="48" fillId="0" borderId="145" xfId="5" applyFont="1" applyBorder="1" applyAlignment="1">
      <alignment horizontal="center" vertical="center"/>
    </xf>
    <xf numFmtId="0" fontId="48" fillId="0" borderId="259" xfId="5" applyFont="1" applyBorder="1" applyAlignment="1">
      <alignment horizontal="center" vertical="center"/>
    </xf>
    <xf numFmtId="0" fontId="52" fillId="0" borderId="258" xfId="5" applyFont="1" applyBorder="1" applyAlignment="1">
      <alignment horizontal="center" vertical="center" wrapText="1"/>
    </xf>
    <xf numFmtId="0" fontId="48" fillId="0" borderId="53" xfId="5" applyFont="1" applyBorder="1" applyAlignment="1">
      <alignment horizontal="center" vertical="center"/>
    </xf>
    <xf numFmtId="0" fontId="52" fillId="0" borderId="6" xfId="5" applyFont="1" applyBorder="1" applyAlignment="1">
      <alignment horizontal="center" vertical="center" wrapText="1"/>
    </xf>
    <xf numFmtId="0" fontId="52" fillId="0" borderId="35" xfId="5" applyFont="1" applyBorder="1" applyAlignment="1">
      <alignment horizontal="center" vertical="center" wrapText="1"/>
    </xf>
    <xf numFmtId="0" fontId="52" fillId="0" borderId="256" xfId="5" applyFont="1" applyBorder="1" applyAlignment="1">
      <alignment horizontal="center" vertical="center" wrapText="1"/>
    </xf>
    <xf numFmtId="0" fontId="48" fillId="0" borderId="104" xfId="5" applyFont="1" applyBorder="1" applyAlignment="1">
      <alignment horizontal="center" vertical="center"/>
    </xf>
    <xf numFmtId="0" fontId="52" fillId="0" borderId="12" xfId="5" applyFont="1" applyBorder="1" applyAlignment="1">
      <alignment horizontal="center" vertical="center" wrapText="1"/>
    </xf>
    <xf numFmtId="0" fontId="48" fillId="0" borderId="146" xfId="5" applyFont="1" applyBorder="1" applyAlignment="1">
      <alignment horizontal="center" vertical="center"/>
    </xf>
    <xf numFmtId="0" fontId="52" fillId="0" borderId="53" xfId="5" applyFont="1" applyBorder="1" applyAlignment="1">
      <alignment horizontal="center" vertical="center" wrapText="1"/>
    </xf>
    <xf numFmtId="0" fontId="52" fillId="0" borderId="104" xfId="5" applyFont="1" applyBorder="1" applyAlignment="1">
      <alignment horizontal="center" vertical="center" wrapText="1"/>
    </xf>
    <xf numFmtId="0" fontId="48" fillId="0" borderId="12" xfId="5" applyFont="1" applyBorder="1" applyAlignment="1">
      <alignment horizontal="center" vertical="center"/>
    </xf>
    <xf numFmtId="0" fontId="48" fillId="0" borderId="256" xfId="5" applyFont="1" applyBorder="1" applyAlignment="1">
      <alignment horizontal="center" vertical="center"/>
    </xf>
    <xf numFmtId="0" fontId="52" fillId="0" borderId="28" xfId="5" applyFont="1" applyBorder="1" applyAlignment="1">
      <alignment horizontal="justify" vertical="center" wrapText="1"/>
    </xf>
    <xf numFmtId="0" fontId="52" fillId="0" borderId="0" xfId="5" applyFont="1" applyBorder="1" applyAlignment="1">
      <alignment horizontal="justify" vertical="center" wrapText="1"/>
    </xf>
    <xf numFmtId="0" fontId="52" fillId="0" borderId="52" xfId="5" applyFont="1" applyBorder="1" applyAlignment="1">
      <alignment horizontal="justify" vertical="center" wrapText="1"/>
    </xf>
    <xf numFmtId="0" fontId="52" fillId="0" borderId="28" xfId="5" applyFont="1" applyBorder="1" applyAlignment="1">
      <alignment horizontal="center" vertical="center" wrapText="1"/>
    </xf>
    <xf numFmtId="0" fontId="52" fillId="0" borderId="82" xfId="5" applyFont="1" applyBorder="1" applyAlignment="1">
      <alignment horizontal="center" vertical="center" wrapText="1"/>
    </xf>
    <xf numFmtId="0" fontId="52" fillId="0" borderId="163" xfId="5" applyFont="1" applyBorder="1" applyAlignment="1">
      <alignment horizontal="center" vertical="center" wrapText="1"/>
    </xf>
    <xf numFmtId="0" fontId="52" fillId="0" borderId="144" xfId="5" applyFont="1" applyBorder="1" applyAlignment="1">
      <alignment horizontal="center" vertical="center" wrapText="1"/>
    </xf>
    <xf numFmtId="0" fontId="52" fillId="0" borderId="20" xfId="5" applyFont="1" applyBorder="1" applyAlignment="1">
      <alignment horizontal="center" vertical="center" wrapText="1"/>
    </xf>
    <xf numFmtId="0" fontId="52" fillId="0" borderId="260" xfId="5" applyFont="1" applyBorder="1" applyAlignment="1">
      <alignment horizontal="center" vertical="center" wrapText="1"/>
    </xf>
    <xf numFmtId="0" fontId="44" fillId="0" borderId="6" xfId="5" applyFont="1" applyBorder="1" applyAlignment="1">
      <alignment horizontal="center" vertical="center" wrapText="1"/>
    </xf>
    <xf numFmtId="0" fontId="52" fillId="0" borderId="258" xfId="5" applyFont="1" applyBorder="1" applyAlignment="1">
      <alignment horizontal="justify" vertical="center" wrapText="1"/>
    </xf>
    <xf numFmtId="0" fontId="52" fillId="0" borderId="145" xfId="5" applyFont="1" applyBorder="1" applyAlignment="1">
      <alignment horizontal="justify" vertical="center" wrapText="1"/>
    </xf>
    <xf numFmtId="0" fontId="52" fillId="0" borderId="28" xfId="5" applyFont="1" applyBorder="1" applyAlignment="1">
      <alignment horizontal="left" vertical="center" wrapText="1"/>
    </xf>
    <xf numFmtId="0" fontId="52" fillId="0" borderId="0" xfId="5" applyFont="1" applyBorder="1" applyAlignment="1">
      <alignment horizontal="left" vertical="center" wrapText="1"/>
    </xf>
    <xf numFmtId="0" fontId="52" fillId="0" borderId="52" xfId="5" applyFont="1" applyBorder="1" applyAlignment="1">
      <alignment horizontal="left" vertical="center" wrapText="1"/>
    </xf>
    <xf numFmtId="0" fontId="52" fillId="0" borderId="137" xfId="5" applyFont="1" applyBorder="1" applyAlignment="1">
      <alignment horizontal="justify" vertical="center" wrapText="1"/>
    </xf>
    <xf numFmtId="0" fontId="52" fillId="0" borderId="113" xfId="5" applyFont="1" applyBorder="1" applyAlignment="1">
      <alignment horizontal="justify" vertical="center" wrapText="1"/>
    </xf>
    <xf numFmtId="0" fontId="52" fillId="0" borderId="140" xfId="5" applyFont="1" applyBorder="1" applyAlignment="1">
      <alignment horizontal="justify" vertical="center" wrapText="1"/>
    </xf>
    <xf numFmtId="0" fontId="52" fillId="0" borderId="256" xfId="5" applyFont="1" applyBorder="1" applyAlignment="1">
      <alignment horizontal="justify" vertical="center" wrapText="1"/>
    </xf>
    <xf numFmtId="0" fontId="52" fillId="0" borderId="146" xfId="5" applyFont="1" applyBorder="1" applyAlignment="1">
      <alignment horizontal="justify" vertical="center" wrapText="1"/>
    </xf>
    <xf numFmtId="0" fontId="52" fillId="0" borderId="257" xfId="5" applyFont="1" applyBorder="1" applyAlignment="1">
      <alignment horizontal="justify" vertical="center" wrapText="1"/>
    </xf>
    <xf numFmtId="0" fontId="52" fillId="0" borderId="259" xfId="5" applyFont="1" applyBorder="1" applyAlignment="1">
      <alignment horizontal="justify" vertical="center" wrapText="1"/>
    </xf>
    <xf numFmtId="0" fontId="50" fillId="0" borderId="28" xfId="5" applyFont="1" applyBorder="1" applyAlignment="1">
      <alignment horizontal="justify" vertical="center" wrapText="1"/>
    </xf>
    <xf numFmtId="0" fontId="50" fillId="0" borderId="0" xfId="5" applyFont="1" applyBorder="1" applyAlignment="1">
      <alignment horizontal="justify" vertical="center" wrapText="1"/>
    </xf>
    <xf numFmtId="0" fontId="50" fillId="0" borderId="52" xfId="5" applyFont="1" applyBorder="1" applyAlignment="1">
      <alignment horizontal="justify" vertical="center" wrapText="1"/>
    </xf>
    <xf numFmtId="0" fontId="52" fillId="0" borderId="0" xfId="5" applyFont="1" applyBorder="1" applyAlignment="1">
      <alignment horizontal="center" vertical="center" wrapText="1"/>
    </xf>
    <xf numFmtId="0" fontId="52" fillId="0" borderId="52" xfId="5" applyFont="1" applyBorder="1" applyAlignment="1">
      <alignment horizontal="center" vertical="center" wrapText="1"/>
    </xf>
  </cellXfs>
  <cellStyles count="15">
    <cellStyle name="백분율" xfId="1" builtinId="5"/>
    <cellStyle name="백분율 2" xfId="2" xr:uid="{00000000-0005-0000-0000-000001000000}"/>
    <cellStyle name="쉼표 [0]" xfId="3" builtinId="6"/>
    <cellStyle name="쉼표 [0] 2" xfId="4" xr:uid="{00000000-0005-0000-0000-000003000000}"/>
    <cellStyle name="표준" xfId="0" builtinId="0"/>
    <cellStyle name="표준 2" xfId="5" xr:uid="{00000000-0005-0000-0000-000005000000}"/>
    <cellStyle name="표준 2 10" xfId="6" xr:uid="{00000000-0005-0000-0000-000006000000}"/>
    <cellStyle name="표준 2 2" xfId="7" xr:uid="{00000000-0005-0000-0000-000007000000}"/>
    <cellStyle name="표준 3" xfId="8" xr:uid="{00000000-0005-0000-0000-000008000000}"/>
    <cellStyle name="표준 4" xfId="9" xr:uid="{00000000-0005-0000-0000-000009000000}"/>
    <cellStyle name="표준 4 2" xfId="10" xr:uid="{00000000-0005-0000-0000-00000A000000}"/>
    <cellStyle name="표준 5" xfId="11" xr:uid="{00000000-0005-0000-0000-00000B000000}"/>
    <cellStyle name="표준 6" xfId="12" xr:uid="{00000000-0005-0000-0000-00000C000000}"/>
    <cellStyle name="표준 7" xfId="13" xr:uid="{00000000-0005-0000-0000-00000D000000}"/>
    <cellStyle name="표준_Sheet1" xfId="14" xr:uid="{00000000-0005-0000-0000-00000E000000}"/>
  </cellStyles>
  <dxfs count="6">
    <dxf>
      <font>
        <b/>
        <i val="0"/>
        <color rgb="FFFF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0000FF"/>
      </font>
      <fill>
        <patternFill patternType="solid">
          <bgColor rgb="FFFFFF99"/>
        </patternFill>
      </fill>
    </dxf>
    <dxf>
      <font>
        <color rgb="FF0000FF"/>
      </font>
    </dxf>
    <dxf>
      <font>
        <color rgb="FF0000FF"/>
      </font>
    </dxf>
    <dxf>
      <fill>
        <patternFill patternType="lightUp"/>
      </fill>
    </dxf>
  </dxfs>
  <tableStyles count="0" defaultTableStyle="TableStyleMedium9" defaultPivotStyle="PivotStyleLight16"/>
  <colors>
    <mruColors>
      <color rgb="FFFFFF99"/>
      <color rgb="FF0000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4</xdr:row>
      <xdr:rowOff>47625</xdr:rowOff>
    </xdr:from>
    <xdr:to>
      <xdr:col>0</xdr:col>
      <xdr:colOff>742950</xdr:colOff>
      <xdr:row>4</xdr:row>
      <xdr:rowOff>285750</xdr:rowOff>
    </xdr:to>
    <xdr:sp macro="" textlink="">
      <xdr:nvSpPr>
        <xdr:cNvPr id="47504" name="Rectangle 1">
          <a:extLst>
            <a:ext uri="{FF2B5EF4-FFF2-40B4-BE49-F238E27FC236}">
              <a16:creationId xmlns:a16="http://schemas.microsoft.com/office/drawing/2014/main" id="{00000000-0008-0000-0100-000090B90000}"/>
            </a:ext>
          </a:extLst>
        </xdr:cNvPr>
        <xdr:cNvSpPr>
          <a:spLocks noChangeArrowheads="1"/>
        </xdr:cNvSpPr>
      </xdr:nvSpPr>
      <xdr:spPr bwMode="auto">
        <a:xfrm>
          <a:off x="314325" y="1028700"/>
          <a:ext cx="428625" cy="2381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314325</xdr:colOff>
      <xdr:row>5</xdr:row>
      <xdr:rowOff>47625</xdr:rowOff>
    </xdr:from>
    <xdr:to>
      <xdr:col>0</xdr:col>
      <xdr:colOff>742950</xdr:colOff>
      <xdr:row>5</xdr:row>
      <xdr:rowOff>285750</xdr:rowOff>
    </xdr:to>
    <xdr:sp macro="" textlink="">
      <xdr:nvSpPr>
        <xdr:cNvPr id="47505" name="Rectangle 2">
          <a:extLst>
            <a:ext uri="{FF2B5EF4-FFF2-40B4-BE49-F238E27FC236}">
              <a16:creationId xmlns:a16="http://schemas.microsoft.com/office/drawing/2014/main" id="{00000000-0008-0000-0100-000091B90000}"/>
            </a:ext>
          </a:extLst>
        </xdr:cNvPr>
        <xdr:cNvSpPr>
          <a:spLocks noChangeArrowheads="1"/>
        </xdr:cNvSpPr>
      </xdr:nvSpPr>
      <xdr:spPr bwMode="auto">
        <a:xfrm>
          <a:off x="314325" y="1352550"/>
          <a:ext cx="428625" cy="2381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323850</xdr:colOff>
      <xdr:row>6</xdr:row>
      <xdr:rowOff>47625</xdr:rowOff>
    </xdr:from>
    <xdr:to>
      <xdr:col>0</xdr:col>
      <xdr:colOff>752475</xdr:colOff>
      <xdr:row>6</xdr:row>
      <xdr:rowOff>285750</xdr:rowOff>
    </xdr:to>
    <xdr:sp macro="" textlink="">
      <xdr:nvSpPr>
        <xdr:cNvPr id="47506" name="Rectangle 2">
          <a:extLst>
            <a:ext uri="{FF2B5EF4-FFF2-40B4-BE49-F238E27FC236}">
              <a16:creationId xmlns:a16="http://schemas.microsoft.com/office/drawing/2014/main" id="{00000000-0008-0000-0100-000092B90000}"/>
            </a:ext>
          </a:extLst>
        </xdr:cNvPr>
        <xdr:cNvSpPr>
          <a:spLocks noChangeArrowheads="1"/>
        </xdr:cNvSpPr>
      </xdr:nvSpPr>
      <xdr:spPr bwMode="auto">
        <a:xfrm>
          <a:off x="323850" y="1676400"/>
          <a:ext cx="428625" cy="238125"/>
        </a:xfrm>
        <a:prstGeom prst="rect">
          <a:avLst/>
        </a:prstGeom>
        <a:solidFill>
          <a:srgbClr val="CC99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38099</xdr:rowOff>
    </xdr:from>
    <xdr:to>
      <xdr:col>26</xdr:col>
      <xdr:colOff>466725</xdr:colOff>
      <xdr:row>32</xdr:row>
      <xdr:rowOff>158749</xdr:rowOff>
    </xdr:to>
    <xdr:grpSp>
      <xdr:nvGrpSpPr>
        <xdr:cNvPr id="31553" name="그룹 2">
          <a:extLst>
            <a:ext uri="{FF2B5EF4-FFF2-40B4-BE49-F238E27FC236}">
              <a16:creationId xmlns:a16="http://schemas.microsoft.com/office/drawing/2014/main" id="{00000000-0008-0000-0500-0000417B0000}"/>
            </a:ext>
          </a:extLst>
        </xdr:cNvPr>
        <xdr:cNvGrpSpPr>
          <a:grpSpLocks/>
        </xdr:cNvGrpSpPr>
      </xdr:nvGrpSpPr>
      <xdr:grpSpPr bwMode="auto">
        <a:xfrm>
          <a:off x="11885083" y="38099"/>
          <a:ext cx="6308725" cy="8968317"/>
          <a:chOff x="12102353" y="11751609"/>
          <a:chExt cx="6311153" cy="11556625"/>
        </a:xfrm>
      </xdr:grpSpPr>
      <xdr:pic>
        <xdr:nvPicPr>
          <xdr:cNvPr id="31554" name="그림 1">
            <a:extLst>
              <a:ext uri="{FF2B5EF4-FFF2-40B4-BE49-F238E27FC236}">
                <a16:creationId xmlns:a16="http://schemas.microsoft.com/office/drawing/2014/main" id="{00000000-0008-0000-0500-0000427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06835" y="11751609"/>
            <a:ext cx="6306671" cy="8034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1555" name="그림 1">
            <a:extLst>
              <a:ext uri="{FF2B5EF4-FFF2-40B4-BE49-F238E27FC236}">
                <a16:creationId xmlns:a16="http://schemas.microsoft.com/office/drawing/2014/main" id="{00000000-0008-0000-0500-0000437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02353" y="19722351"/>
            <a:ext cx="6308227" cy="35858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144556</xdr:colOff>
      <xdr:row>109</xdr:row>
      <xdr:rowOff>108119</xdr:rowOff>
    </xdr:from>
    <xdr:to>
      <xdr:col>25</xdr:col>
      <xdr:colOff>291353</xdr:colOff>
      <xdr:row>118</xdr:row>
      <xdr:rowOff>99170</xdr:rowOff>
    </xdr:to>
    <xdr:pic>
      <xdr:nvPicPr>
        <xdr:cNvPr id="43635" name="그림 1">
          <a:extLst>
            <a:ext uri="{FF2B5EF4-FFF2-40B4-BE49-F238E27FC236}">
              <a16:creationId xmlns:a16="http://schemas.microsoft.com/office/drawing/2014/main" id="{00000000-0008-0000-0600-000073A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5938" y="23819766"/>
          <a:ext cx="6433297" cy="1929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123825</xdr:colOff>
      <xdr:row>51</xdr:row>
      <xdr:rowOff>19050</xdr:rowOff>
    </xdr:from>
    <xdr:to>
      <xdr:col>25</xdr:col>
      <xdr:colOff>400050</xdr:colOff>
      <xdr:row>84</xdr:row>
      <xdr:rowOff>38100</xdr:rowOff>
    </xdr:to>
    <xdr:pic>
      <xdr:nvPicPr>
        <xdr:cNvPr id="43636" name="그림 2">
          <a:extLst>
            <a:ext uri="{FF2B5EF4-FFF2-40B4-BE49-F238E27FC236}">
              <a16:creationId xmlns:a16="http://schemas.microsoft.com/office/drawing/2014/main" id="{00000000-0008-0000-0600-000074A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11163300"/>
          <a:ext cx="6562725" cy="693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295275</xdr:colOff>
      <xdr:row>44</xdr:row>
      <xdr:rowOff>85725</xdr:rowOff>
    </xdr:from>
    <xdr:to>
      <xdr:col>25</xdr:col>
      <xdr:colOff>390525</xdr:colOff>
      <xdr:row>50</xdr:row>
      <xdr:rowOff>47625</xdr:rowOff>
    </xdr:to>
    <xdr:pic>
      <xdr:nvPicPr>
        <xdr:cNvPr id="43637" name="그림 1">
          <a:extLst>
            <a:ext uri="{FF2B5EF4-FFF2-40B4-BE49-F238E27FC236}">
              <a16:creationId xmlns:a16="http://schemas.microsoft.com/office/drawing/2014/main" id="{00000000-0008-0000-0600-000075A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9625" y="9763125"/>
          <a:ext cx="3905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145676</xdr:colOff>
      <xdr:row>115</xdr:row>
      <xdr:rowOff>179294</xdr:rowOff>
    </xdr:from>
    <xdr:to>
      <xdr:col>25</xdr:col>
      <xdr:colOff>291353</xdr:colOff>
      <xdr:row>118</xdr:row>
      <xdr:rowOff>100853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447058" y="25190823"/>
          <a:ext cx="6432177" cy="56029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7</xdr:row>
      <xdr:rowOff>295276</xdr:rowOff>
    </xdr:from>
    <xdr:to>
      <xdr:col>21</xdr:col>
      <xdr:colOff>271043</xdr:colOff>
      <xdr:row>11</xdr:row>
      <xdr:rowOff>314326</xdr:rowOff>
    </xdr:to>
    <xdr:pic>
      <xdr:nvPicPr>
        <xdr:cNvPr id="46476" name="그림 1">
          <a:extLst>
            <a:ext uri="{FF2B5EF4-FFF2-40B4-BE49-F238E27FC236}">
              <a16:creationId xmlns:a16="http://schemas.microsoft.com/office/drawing/2014/main" id="{00000000-0008-0000-0700-00008CB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295526"/>
          <a:ext cx="5509793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9526</xdr:colOff>
      <xdr:row>31</xdr:row>
      <xdr:rowOff>0</xdr:rowOff>
    </xdr:from>
    <xdr:to>
      <xdr:col>20</xdr:col>
      <xdr:colOff>552451</xdr:colOff>
      <xdr:row>49</xdr:row>
      <xdr:rowOff>17710</xdr:rowOff>
    </xdr:to>
    <xdr:pic>
      <xdr:nvPicPr>
        <xdr:cNvPr id="46477" name="그림 3">
          <a:extLst>
            <a:ext uri="{FF2B5EF4-FFF2-40B4-BE49-F238E27FC236}">
              <a16:creationId xmlns:a16="http://schemas.microsoft.com/office/drawing/2014/main" id="{00000000-0008-0000-0700-00008DB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1" y="9229725"/>
          <a:ext cx="5067300" cy="37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10</xdr:row>
      <xdr:rowOff>28575</xdr:rowOff>
    </xdr:from>
    <xdr:to>
      <xdr:col>20</xdr:col>
      <xdr:colOff>704850</xdr:colOff>
      <xdr:row>14</xdr:row>
      <xdr:rowOff>76200</xdr:rowOff>
    </xdr:to>
    <xdr:pic>
      <xdr:nvPicPr>
        <xdr:cNvPr id="30271" name="그림 1">
          <a:extLst>
            <a:ext uri="{FF2B5EF4-FFF2-40B4-BE49-F238E27FC236}">
              <a16:creationId xmlns:a16="http://schemas.microsoft.com/office/drawing/2014/main" id="{00000000-0008-0000-0800-00003F7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2990850"/>
          <a:ext cx="5029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24</xdr:row>
      <xdr:rowOff>85725</xdr:rowOff>
    </xdr:from>
    <xdr:to>
      <xdr:col>21</xdr:col>
      <xdr:colOff>0</xdr:colOff>
      <xdr:row>31</xdr:row>
      <xdr:rowOff>66675</xdr:rowOff>
    </xdr:to>
    <xdr:pic>
      <xdr:nvPicPr>
        <xdr:cNvPr id="30272" name="그림 2">
          <a:extLst>
            <a:ext uri="{FF2B5EF4-FFF2-40B4-BE49-F238E27FC236}">
              <a16:creationId xmlns:a16="http://schemas.microsoft.com/office/drawing/2014/main" id="{00000000-0008-0000-0800-0000407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6829425"/>
          <a:ext cx="51054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37</xdr:row>
      <xdr:rowOff>276225</xdr:rowOff>
    </xdr:from>
    <xdr:to>
      <xdr:col>21</xdr:col>
      <xdr:colOff>314325</xdr:colOff>
      <xdr:row>43</xdr:row>
      <xdr:rowOff>209550</xdr:rowOff>
    </xdr:to>
    <xdr:pic>
      <xdr:nvPicPr>
        <xdr:cNvPr id="30273" name="그림 3">
          <a:extLst>
            <a:ext uri="{FF2B5EF4-FFF2-40B4-BE49-F238E27FC236}">
              <a16:creationId xmlns:a16="http://schemas.microsoft.com/office/drawing/2014/main" id="{00000000-0008-0000-0800-0000417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10706100"/>
          <a:ext cx="54197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</xdr:row>
      <xdr:rowOff>95250</xdr:rowOff>
    </xdr:from>
    <xdr:to>
      <xdr:col>22</xdr:col>
      <xdr:colOff>647700</xdr:colOff>
      <xdr:row>23</xdr:row>
      <xdr:rowOff>142875</xdr:rowOff>
    </xdr:to>
    <xdr:grpSp>
      <xdr:nvGrpSpPr>
        <xdr:cNvPr id="5" name="그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/>
      </xdr:nvGrpSpPr>
      <xdr:grpSpPr>
        <a:xfrm>
          <a:off x="10048875" y="314325"/>
          <a:ext cx="6267450" cy="6743700"/>
          <a:chOff x="10048875" y="314325"/>
          <a:chExt cx="6267450" cy="6943725"/>
        </a:xfrm>
      </xdr:grpSpPr>
      <xdr:grpSp>
        <xdr:nvGrpSpPr>
          <xdr:cNvPr id="3" name="그룹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pSpPr/>
        </xdr:nvGrpSpPr>
        <xdr:grpSpPr>
          <a:xfrm>
            <a:off x="10048875" y="314325"/>
            <a:ext cx="6267450" cy="6943725"/>
            <a:chOff x="8820150" y="219075"/>
            <a:chExt cx="6267450" cy="6943725"/>
          </a:xfrm>
        </xdr:grpSpPr>
        <xdr:pic>
          <xdr:nvPicPr>
            <xdr:cNvPr id="13493" name="그림 1">
              <a:extLst>
                <a:ext uri="{FF2B5EF4-FFF2-40B4-BE49-F238E27FC236}">
                  <a16:creationId xmlns:a16="http://schemas.microsoft.com/office/drawing/2014/main" id="{00000000-0008-0000-0900-0000B534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20150" y="219075"/>
              <a:ext cx="6267450" cy="6943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" name="직사각형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/>
          </xdr:nvSpPr>
          <xdr:spPr>
            <a:xfrm>
              <a:off x="9344025" y="2133600"/>
              <a:ext cx="5648325" cy="495300"/>
            </a:xfrm>
            <a:prstGeom prst="rect">
              <a:avLst/>
            </a:prstGeom>
            <a:noFill/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sp macro="" textlink="">
          <xdr:nvSpPr>
            <xdr:cNvPr id="4" name="직사각형 3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SpPr/>
          </xdr:nvSpPr>
          <xdr:spPr>
            <a:xfrm>
              <a:off x="9363075" y="3524250"/>
              <a:ext cx="5648325" cy="714376"/>
            </a:xfrm>
            <a:prstGeom prst="rect">
              <a:avLst/>
            </a:prstGeom>
            <a:noFill/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</xdr:grpSp>
      <xdr:sp macro="" textlink="">
        <xdr:nvSpPr>
          <xdr:cNvPr id="6" name="직사각형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10334626" y="1295400"/>
            <a:ext cx="2533649" cy="257175"/>
          </a:xfrm>
          <a:prstGeom prst="rect">
            <a:avLst/>
          </a:prstGeom>
          <a:noFill/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2</xdr:row>
      <xdr:rowOff>190500</xdr:rowOff>
    </xdr:from>
    <xdr:to>
      <xdr:col>21</xdr:col>
      <xdr:colOff>600075</xdr:colOff>
      <xdr:row>28</xdr:row>
      <xdr:rowOff>47625</xdr:rowOff>
    </xdr:to>
    <xdr:pic>
      <xdr:nvPicPr>
        <xdr:cNvPr id="14508" name="그림 1">
          <a:extLst>
            <a:ext uri="{FF2B5EF4-FFF2-40B4-BE49-F238E27FC236}">
              <a16:creationId xmlns:a16="http://schemas.microsoft.com/office/drawing/2014/main" id="{00000000-0008-0000-0A00-0000A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14375"/>
          <a:ext cx="6724650" cy="631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28575</xdr:rowOff>
    </xdr:from>
    <xdr:to>
      <xdr:col>17</xdr:col>
      <xdr:colOff>171450</xdr:colOff>
      <xdr:row>24</xdr:row>
      <xdr:rowOff>133350</xdr:rowOff>
    </xdr:to>
    <xdr:grpSp>
      <xdr:nvGrpSpPr>
        <xdr:cNvPr id="3" name="그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8791575" y="28575"/>
          <a:ext cx="6238875" cy="7096125"/>
          <a:chOff x="8782050" y="781050"/>
          <a:chExt cx="6238875" cy="7096125"/>
        </a:xfrm>
      </xdr:grpSpPr>
      <xdr:pic>
        <xdr:nvPicPr>
          <xdr:cNvPr id="39098" name="그림 1">
            <a:extLst>
              <a:ext uri="{FF2B5EF4-FFF2-40B4-BE49-F238E27FC236}">
                <a16:creationId xmlns:a16="http://schemas.microsoft.com/office/drawing/2014/main" id="{00000000-0008-0000-0B00-0000BA9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82050" y="781050"/>
            <a:ext cx="6238875" cy="7096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직사각형 1">
            <a:extLst>
              <a:ext uri="{FF2B5EF4-FFF2-40B4-BE49-F238E27FC236}">
                <a16:creationId xmlns:a16="http://schemas.microsoft.com/office/drawing/2014/main" id="{00000000-0008-0000-0B00-000002000000}"/>
              </a:ext>
            </a:extLst>
          </xdr:cNvPr>
          <xdr:cNvSpPr/>
        </xdr:nvSpPr>
        <xdr:spPr>
          <a:xfrm>
            <a:off x="9153525" y="1238250"/>
            <a:ext cx="5829300" cy="4572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33</xdr:row>
      <xdr:rowOff>219075</xdr:rowOff>
    </xdr:from>
    <xdr:to>
      <xdr:col>18</xdr:col>
      <xdr:colOff>180975</xdr:colOff>
      <xdr:row>46</xdr:row>
      <xdr:rowOff>123825</xdr:rowOff>
    </xdr:to>
    <xdr:grpSp>
      <xdr:nvGrpSpPr>
        <xdr:cNvPr id="3" name="그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pSpPr/>
      </xdr:nvGrpSpPr>
      <xdr:grpSpPr>
        <a:xfrm>
          <a:off x="7753350" y="8496300"/>
          <a:ext cx="6286500" cy="3133725"/>
          <a:chOff x="7753350" y="8496300"/>
          <a:chExt cx="5943600" cy="3133725"/>
        </a:xfrm>
      </xdr:grpSpPr>
      <xdr:pic>
        <xdr:nvPicPr>
          <xdr:cNvPr id="18701" name="그림 1">
            <a:extLst>
              <a:ext uri="{FF2B5EF4-FFF2-40B4-BE49-F238E27FC236}">
                <a16:creationId xmlns:a16="http://schemas.microsoft.com/office/drawing/2014/main" id="{00000000-0008-0000-0C00-00000D4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62876" y="8496300"/>
            <a:ext cx="5924550" cy="3124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직사각형 1"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SpPr/>
        </xdr:nvSpPr>
        <xdr:spPr>
          <a:xfrm>
            <a:off x="7753350" y="10858500"/>
            <a:ext cx="5943600" cy="7715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ko-KR" alt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8107\Documents\LH%20&#47700;&#49888;&#51200;\Talk%20&#48155;&#51008;%20&#54028;&#51068;\&#50577;&#49885;&#49688;&#51221;\(8&#52264;&#44060;&#51221;&#48152;&#50689;)%20&#51204;&#44592;&#49444;&#44228;&#50857;&#50669;%20&#49324;&#50629;&#49688;&#54665;&#45733;&#47141;%20&#54217;&#44032;%20&#51648;&#52840;_2024.02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8107\Documents\LH%20&#47700;&#49888;&#51200;\Talk%20&#48155;&#51008;%20&#54028;&#51068;\PQ&#50577;&#49885;_&#49688;&#51221;\(8&#52264;&#44060;&#51221;&#48152;&#50689;)%20&#51204;&#44592;&#49444;&#44228;&#50857;&#50669;%20&#49324;&#50629;&#49688;&#54665;&#45733;&#47141;%20&#54217;&#44032;%20&#51648;&#52840;_&#44277;&#46041;&#49688;&#44553;_&#52572;&#513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8107\Documents\LH%20&#47700;&#49888;&#51200;\Talk%20&#48155;&#51008;%20&#54028;&#51068;\PQ&#50577;&#49885;_&#49688;&#51221;\(8&#52264;&#44060;&#51221;&#48152;&#50689;)%20&#51204;&#44592;&#49444;&#44228;&#50857;&#50669;%20&#49324;&#50629;&#49688;&#54665;&#45733;&#47141;%20&#54217;&#44032;%20&#51648;&#528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8107\Documents\LH%20&#47700;&#49888;&#51200;\Talk%20&#48155;&#51008;%20&#54028;&#51068;\&#50577;&#49885;&#49688;&#51221;\(8&#52264;&#44060;&#51221;&#48152;&#50689;)%20&#51204;&#44592;&#49444;&#44228;&#50857;&#50669;%20&#49324;&#50629;&#49688;&#54665;&#45733;&#47141;%20&#54217;&#44032;%20&#51648;&#52840;_2024.02.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평가신청서"/>
      <sheetName val="평가표"/>
      <sheetName val="자격,등급"/>
      <sheetName val="경력"/>
      <sheetName val="실적"/>
      <sheetName val="유사용역수행실적"/>
      <sheetName val="신용도"/>
      <sheetName val="기술개발 및 투자실적"/>
      <sheetName val="업무중첩도"/>
      <sheetName val="감점"/>
      <sheetName val="(별표3)유사용역 인정범위"/>
      <sheetName val="(양식3)발주부서업무수행확인서"/>
      <sheetName val="(양식4)재정상태검토보고서"/>
    </sheetNames>
    <sheetDataSet>
      <sheetData sheetId="0" refreshError="1"/>
      <sheetData sheetId="1" refreshError="1"/>
      <sheetData sheetId="2" refreshError="1"/>
      <sheetData sheetId="3" refreshError="1">
        <row r="8">
          <cell r="P8" t="str">
            <v>전기분야기술사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참여기술자 현황"/>
      <sheetName val="평가신청서"/>
      <sheetName val="평가표"/>
      <sheetName val="자격,등급"/>
      <sheetName val="경력"/>
      <sheetName val="실적"/>
      <sheetName val="유사용역수행실적"/>
      <sheetName val="신용도"/>
      <sheetName val="기술개발 및 투자실적"/>
      <sheetName val="업무중첩도"/>
      <sheetName val="감점"/>
      <sheetName val="(별표3)유사용역 인정범위"/>
      <sheetName val="(양식3)발주부서업무수행확인서"/>
      <sheetName val="(양식4)재정상태검토보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P8" t="str">
            <v>전기분야기술사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참여기술자 현황"/>
      <sheetName val="평가신청서"/>
      <sheetName val="평가표"/>
      <sheetName val="자격,등급"/>
      <sheetName val="경력"/>
      <sheetName val="실적"/>
      <sheetName val="유사용역수행실적"/>
      <sheetName val="신용도"/>
      <sheetName val="기술개발 및 투자실적"/>
      <sheetName val="업무중첩도"/>
      <sheetName val="감점"/>
      <sheetName val="(별표3)유사용역 인정범위"/>
      <sheetName val="(양식3)발주부서업무수행확인서"/>
      <sheetName val="(양식4)재정상태검토보고서"/>
    </sheetNames>
    <sheetDataSet>
      <sheetData sheetId="0"/>
      <sheetData sheetId="1" refreshError="1"/>
      <sheetData sheetId="2" refreshError="1"/>
      <sheetData sheetId="3" refreshError="1"/>
      <sheetData sheetId="4">
        <row r="8">
          <cell r="P8" t="str">
            <v>전기분야기술사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평가신청서"/>
      <sheetName val="평가표"/>
      <sheetName val="자격,등급"/>
      <sheetName val="경력"/>
      <sheetName val="실적"/>
      <sheetName val="유사용역수행실적"/>
      <sheetName val="신용도"/>
      <sheetName val="기술개발 및 투자실적"/>
      <sheetName val="업무중첩도"/>
      <sheetName val="감점"/>
      <sheetName val="(별표3)유사용역 인정범위"/>
      <sheetName val="(양식3)발주부서업무수행확인서"/>
      <sheetName val="(양식4)재정상태검토보고서"/>
    </sheetNames>
    <sheetDataSet>
      <sheetData sheetId="0"/>
      <sheetData sheetId="1"/>
      <sheetData sheetId="2"/>
      <sheetData sheetId="3">
        <row r="8">
          <cell r="P8" t="str">
            <v>전기분야기술사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O53"/>
  <sheetViews>
    <sheetView view="pageBreakPreview" zoomScale="115" zoomScaleNormal="100" zoomScaleSheetLayoutView="115" workbookViewId="0">
      <selection activeCell="M12" sqref="M12"/>
    </sheetView>
  </sheetViews>
  <sheetFormatPr defaultRowHeight="13.5"/>
  <cols>
    <col min="1" max="6" width="8.88671875" style="5"/>
    <col min="7" max="10" width="7.77734375" style="5" customWidth="1"/>
    <col min="11" max="11" width="4.33203125" style="5" customWidth="1"/>
    <col min="12" max="16384" width="8.88671875" style="5"/>
  </cols>
  <sheetData>
    <row r="1" spans="1:15" s="4" customFormat="1" ht="25.5">
      <c r="A1" s="951" t="s">
        <v>120</v>
      </c>
      <c r="B1" s="951"/>
      <c r="C1" s="951"/>
      <c r="D1" s="951"/>
      <c r="E1" s="951"/>
      <c r="F1" s="951"/>
      <c r="G1" s="951"/>
      <c r="H1" s="951"/>
      <c r="I1" s="951"/>
      <c r="J1" s="951"/>
    </row>
    <row r="4" spans="1:15" s="4" customFormat="1" ht="14.25">
      <c r="A4" s="26" t="e">
        <f xml:space="preserve"> " 용역명 : " &amp;#REF!</f>
        <v>#REF!</v>
      </c>
    </row>
    <row r="6" spans="1:15" ht="19.5" customHeight="1" thickBot="1">
      <c r="H6" s="6"/>
      <c r="I6" s="25"/>
      <c r="J6" s="27" t="s">
        <v>153</v>
      </c>
      <c r="L6" s="955" t="s">
        <v>121</v>
      </c>
      <c r="M6" s="955"/>
      <c r="N6" s="955"/>
      <c r="O6" s="955"/>
    </row>
    <row r="7" spans="1:15" s="9" customFormat="1" ht="27" customHeight="1" thickBot="1">
      <c r="A7" s="7" t="s">
        <v>111</v>
      </c>
      <c r="B7" s="930" t="s">
        <v>112</v>
      </c>
      <c r="C7" s="930"/>
      <c r="D7" s="930"/>
      <c r="E7" s="8" t="s">
        <v>73</v>
      </c>
      <c r="F7" s="8" t="s">
        <v>113</v>
      </c>
      <c r="G7" s="931" t="s">
        <v>114</v>
      </c>
      <c r="H7" s="952"/>
      <c r="I7" s="953" t="s">
        <v>115</v>
      </c>
      <c r="J7" s="954"/>
      <c r="L7" s="956" t="s">
        <v>122</v>
      </c>
      <c r="M7" s="957"/>
      <c r="N7" s="957"/>
      <c r="O7" s="957"/>
    </row>
    <row r="8" spans="1:15" s="13" customFormat="1" ht="35.1" customHeight="1" thickTop="1">
      <c r="A8" s="20">
        <v>1</v>
      </c>
      <c r="B8" s="958" t="s">
        <v>125</v>
      </c>
      <c r="C8" s="959"/>
      <c r="D8" s="960"/>
      <c r="E8" s="21" t="s">
        <v>123</v>
      </c>
      <c r="F8" s="22" t="s">
        <v>126</v>
      </c>
      <c r="G8" s="961">
        <v>200000000</v>
      </c>
      <c r="H8" s="962"/>
      <c r="I8" s="963">
        <f>G8/1.1</f>
        <v>181818181.81818181</v>
      </c>
      <c r="J8" s="964"/>
      <c r="L8" s="957"/>
      <c r="M8" s="957"/>
      <c r="N8" s="957"/>
      <c r="O8" s="957"/>
    </row>
    <row r="9" spans="1:15" s="13" customFormat="1" ht="35.1" customHeight="1">
      <c r="A9" s="10">
        <v>2</v>
      </c>
      <c r="B9" s="965"/>
      <c r="C9" s="966"/>
      <c r="D9" s="967"/>
      <c r="E9" s="11"/>
      <c r="F9" s="12"/>
      <c r="G9" s="968"/>
      <c r="H9" s="969"/>
      <c r="I9" s="970"/>
      <c r="J9" s="971"/>
      <c r="L9" s="957"/>
      <c r="M9" s="957"/>
      <c r="N9" s="957"/>
      <c r="O9" s="957"/>
    </row>
    <row r="10" spans="1:15" s="13" customFormat="1" ht="35.1" customHeight="1">
      <c r="A10" s="14">
        <v>3</v>
      </c>
      <c r="B10" s="939"/>
      <c r="C10" s="940"/>
      <c r="D10" s="941"/>
      <c r="E10" s="15"/>
      <c r="F10" s="16"/>
      <c r="G10" s="942"/>
      <c r="H10" s="943"/>
      <c r="I10" s="942"/>
      <c r="J10" s="944"/>
    </row>
    <row r="11" spans="1:15" s="13" customFormat="1" ht="35.1" customHeight="1">
      <c r="A11" s="14">
        <v>4</v>
      </c>
      <c r="B11" s="939"/>
      <c r="C11" s="940"/>
      <c r="D11" s="941"/>
      <c r="E11" s="15"/>
      <c r="F11" s="16"/>
      <c r="G11" s="942"/>
      <c r="H11" s="943"/>
      <c r="I11" s="942"/>
      <c r="J11" s="944"/>
    </row>
    <row r="12" spans="1:15" s="13" customFormat="1" ht="35.1" customHeight="1">
      <c r="A12" s="14">
        <v>5</v>
      </c>
      <c r="B12" s="939"/>
      <c r="C12" s="940"/>
      <c r="D12" s="941"/>
      <c r="E12" s="15"/>
      <c r="F12" s="16"/>
      <c r="G12" s="942"/>
      <c r="H12" s="943"/>
      <c r="I12" s="942"/>
      <c r="J12" s="944"/>
    </row>
    <row r="13" spans="1:15" s="13" customFormat="1" ht="35.1" customHeight="1">
      <c r="A13" s="14">
        <v>6</v>
      </c>
      <c r="B13" s="939"/>
      <c r="C13" s="940"/>
      <c r="D13" s="941"/>
      <c r="E13" s="15"/>
      <c r="F13" s="16"/>
      <c r="G13" s="942"/>
      <c r="H13" s="943"/>
      <c r="I13" s="942"/>
      <c r="J13" s="944"/>
    </row>
    <row r="14" spans="1:15" s="13" customFormat="1" ht="35.1" customHeight="1">
      <c r="A14" s="14">
        <v>7</v>
      </c>
      <c r="B14" s="939"/>
      <c r="C14" s="940"/>
      <c r="D14" s="941"/>
      <c r="E14" s="15"/>
      <c r="F14" s="16"/>
      <c r="G14" s="942"/>
      <c r="H14" s="943"/>
      <c r="I14" s="942"/>
      <c r="J14" s="944"/>
    </row>
    <row r="15" spans="1:15" s="13" customFormat="1" ht="30" customHeight="1" thickBot="1">
      <c r="A15" s="945" t="s">
        <v>116</v>
      </c>
      <c r="B15" s="946"/>
      <c r="C15" s="946"/>
      <c r="D15" s="946"/>
      <c r="E15" s="946"/>
      <c r="F15" s="946"/>
      <c r="G15" s="947">
        <f>SUM(G8:H14)</f>
        <v>200000000</v>
      </c>
      <c r="H15" s="948"/>
      <c r="I15" s="949">
        <f>SUM(I8:J14)</f>
        <v>181818181.81818181</v>
      </c>
      <c r="J15" s="950"/>
    </row>
    <row r="16" spans="1:15" s="13" customFormat="1" ht="30" customHeight="1" thickBot="1"/>
    <row r="17" spans="1:10" s="13" customFormat="1" ht="30" customHeight="1" thickBot="1">
      <c r="A17" s="929" t="s">
        <v>117</v>
      </c>
      <c r="B17" s="930"/>
      <c r="C17" s="930"/>
      <c r="D17" s="930" t="s">
        <v>118</v>
      </c>
      <c r="E17" s="930"/>
      <c r="F17" s="930"/>
      <c r="G17" s="931" t="s">
        <v>119</v>
      </c>
      <c r="H17" s="932"/>
      <c r="I17" s="933"/>
    </row>
    <row r="18" spans="1:10" s="13" customFormat="1" ht="30" customHeight="1" thickTop="1" thickBot="1">
      <c r="A18" s="934">
        <v>556491100</v>
      </c>
      <c r="B18" s="935"/>
      <c r="C18" s="935"/>
      <c r="D18" s="935">
        <f>I15</f>
        <v>181818181.81818181</v>
      </c>
      <c r="E18" s="935"/>
      <c r="F18" s="935"/>
      <c r="G18" s="936">
        <f>D18/A18</f>
        <v>0.32672253306150234</v>
      </c>
      <c r="H18" s="937"/>
      <c r="I18" s="938"/>
    </row>
    <row r="19" spans="1:10" s="19" customFormat="1" ht="21" customHeight="1">
      <c r="A19" s="927" t="s">
        <v>154</v>
      </c>
      <c r="B19" s="927"/>
      <c r="C19" s="927"/>
      <c r="D19" s="927"/>
      <c r="E19" s="927"/>
      <c r="F19" s="927"/>
      <c r="G19" s="927"/>
      <c r="H19" s="927"/>
      <c r="I19" s="927"/>
      <c r="J19" s="927"/>
    </row>
    <row r="20" spans="1:10" s="19" customFormat="1" ht="21" customHeight="1">
      <c r="A20" s="927"/>
      <c r="B20" s="927"/>
      <c r="C20" s="927"/>
      <c r="D20" s="927"/>
      <c r="E20" s="927"/>
      <c r="F20" s="927"/>
      <c r="G20" s="927"/>
      <c r="H20" s="927"/>
      <c r="I20" s="927"/>
      <c r="J20" s="927"/>
    </row>
    <row r="21" spans="1:10" s="19" customFormat="1" ht="21" customHeight="1">
      <c r="A21" s="927"/>
      <c r="B21" s="927"/>
      <c r="C21" s="927"/>
      <c r="D21" s="927"/>
      <c r="E21" s="927"/>
      <c r="F21" s="927"/>
      <c r="G21" s="927"/>
      <c r="H21" s="927"/>
      <c r="I21" s="927"/>
      <c r="J21" s="927"/>
    </row>
    <row r="22" spans="1:10" s="19" customFormat="1" ht="14.25"/>
    <row r="23" spans="1:10" s="19" customFormat="1" ht="14.25">
      <c r="A23" s="928" t="s">
        <v>155</v>
      </c>
      <c r="B23" s="928"/>
      <c r="C23" s="928"/>
      <c r="D23" s="928"/>
      <c r="E23" s="928"/>
      <c r="F23" s="928"/>
      <c r="G23" s="928"/>
      <c r="H23" s="928"/>
      <c r="I23" s="928"/>
      <c r="J23" s="928"/>
    </row>
    <row r="24" spans="1:10" s="19" customFormat="1" ht="14.25"/>
    <row r="25" spans="1:10" s="19" customFormat="1" ht="14.25"/>
    <row r="26" spans="1:10" s="19" customFormat="1" ht="30" customHeight="1">
      <c r="F26" s="28" t="s">
        <v>156</v>
      </c>
    </row>
    <row r="27" spans="1:10" s="17" customFormat="1" ht="14.25"/>
    <row r="28" spans="1:10" s="13" customFormat="1" ht="30" customHeight="1">
      <c r="F28" s="18" t="s">
        <v>127</v>
      </c>
    </row>
    <row r="29" spans="1:10" s="13" customFormat="1" ht="30" customHeight="1">
      <c r="F29" s="18" t="s">
        <v>128</v>
      </c>
    </row>
    <row r="30" spans="1:10" s="13" customFormat="1" ht="30" customHeight="1">
      <c r="F30" s="18" t="s">
        <v>129</v>
      </c>
    </row>
    <row r="31" spans="1:10" s="13" customFormat="1" ht="30" customHeight="1"/>
    <row r="32" spans="1:10" s="13" customFormat="1" ht="30" customHeight="1"/>
    <row r="33" s="13" customFormat="1" ht="30" customHeight="1"/>
    <row r="34" s="13" customFormat="1" ht="30" customHeight="1"/>
    <row r="35" s="13" customFormat="1" ht="30" customHeight="1"/>
    <row r="36" s="13" customFormat="1" ht="30" customHeight="1"/>
    <row r="37" s="13" customFormat="1" ht="30" customHeight="1"/>
    <row r="38" s="13" customFormat="1" ht="30" customHeight="1"/>
    <row r="39" s="13" customFormat="1" ht="30" customHeight="1"/>
    <row r="40" s="13" customFormat="1" ht="30" customHeight="1"/>
    <row r="41" s="13" customFormat="1" ht="30" customHeight="1"/>
    <row r="42" s="13" customFormat="1" ht="30" customHeight="1"/>
    <row r="43" s="13" customFormat="1" ht="30" customHeight="1"/>
    <row r="44" s="13" customFormat="1" ht="30" customHeigh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</sheetData>
  <customSheetViews>
    <customSheetView guid="{3C925556-11AB-420F-9574-511192FFD696}" scale="115" showPageBreaks="1" state="hidden" view="pageBreakPreview">
      <selection activeCell="M12" sqref="M12"/>
      <pageMargins left="0.74803149606299213" right="0.74803149606299213" top="0.98425196850393704" bottom="0.98425196850393704" header="0.51181102362204722" footer="0.51181102362204722"/>
      <pageSetup paperSize="9" scale="60" orientation="portrait" r:id="rId1"/>
      <headerFooter alignWithMargins="0"/>
    </customSheetView>
  </customSheetViews>
  <mergeCells count="38">
    <mergeCell ref="A1:J1"/>
    <mergeCell ref="B7:D7"/>
    <mergeCell ref="G7:H7"/>
    <mergeCell ref="I7:J7"/>
    <mergeCell ref="L6:O6"/>
    <mergeCell ref="L7:O9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A15:F15"/>
    <mergeCell ref="G15:H15"/>
    <mergeCell ref="I15:J15"/>
    <mergeCell ref="A19:J21"/>
    <mergeCell ref="A23:J23"/>
    <mergeCell ref="A17:C17"/>
    <mergeCell ref="D17:F17"/>
    <mergeCell ref="G17:I17"/>
    <mergeCell ref="A18:C18"/>
    <mergeCell ref="D18:F18"/>
    <mergeCell ref="G18:I18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FF"/>
  </sheetPr>
  <dimension ref="B1:AM31"/>
  <sheetViews>
    <sheetView showGridLines="0" view="pageBreakPreview" zoomScaleNormal="100" zoomScaleSheetLayoutView="100" workbookViewId="0"/>
  </sheetViews>
  <sheetFormatPr defaultRowHeight="16.5"/>
  <cols>
    <col min="1" max="1" width="1.77734375" style="215" customWidth="1"/>
    <col min="2" max="2" width="3.5546875" style="215" customWidth="1"/>
    <col min="3" max="3" width="7.6640625" style="215" customWidth="1"/>
    <col min="4" max="4" width="6.44140625" style="215" customWidth="1"/>
    <col min="5" max="5" width="19.88671875" style="215" customWidth="1"/>
    <col min="6" max="6" width="14.33203125" style="215" customWidth="1"/>
    <col min="7" max="7" width="11.77734375" style="215" customWidth="1"/>
    <col min="8" max="8" width="6.77734375" style="215" customWidth="1"/>
    <col min="9" max="9" width="6.77734375" style="228" customWidth="1"/>
    <col min="10" max="10" width="6.77734375" style="229" customWidth="1"/>
    <col min="11" max="11" width="13.44140625" style="215" customWidth="1"/>
    <col min="12" max="13" width="1.77734375" style="215" customWidth="1"/>
    <col min="14" max="16384" width="8.88671875" style="215"/>
  </cols>
  <sheetData>
    <row r="1" spans="2:39" ht="17.25" customHeight="1" thickBot="1">
      <c r="K1" s="341"/>
      <c r="AE1" s="230"/>
      <c r="AF1" s="230"/>
      <c r="AG1" s="230"/>
      <c r="AH1" s="230"/>
      <c r="AI1" s="230"/>
      <c r="AJ1" s="230"/>
      <c r="AK1" s="230"/>
      <c r="AL1" s="230"/>
      <c r="AM1" s="230"/>
    </row>
    <row r="2" spans="2:39" ht="24">
      <c r="B2" s="475" t="s">
        <v>233</v>
      </c>
      <c r="I2" s="1728" t="s">
        <v>149</v>
      </c>
      <c r="J2" s="1729"/>
      <c r="K2" s="871" t="s">
        <v>663</v>
      </c>
      <c r="AE2" s="230"/>
      <c r="AF2" s="230"/>
      <c r="AG2" s="230"/>
      <c r="AH2" s="230"/>
      <c r="AI2" s="230"/>
      <c r="AJ2" s="230"/>
      <c r="AK2" s="230"/>
      <c r="AL2" s="230"/>
      <c r="AM2" s="230"/>
    </row>
    <row r="3" spans="2:39" ht="24.75" thickBot="1">
      <c r="B3" s="475"/>
      <c r="I3" s="1726">
        <f>작성요령!V19</f>
        <v>45292</v>
      </c>
      <c r="J3" s="1727"/>
      <c r="K3" s="450">
        <f>작성요령!V20</f>
        <v>45352</v>
      </c>
      <c r="AE3" s="230"/>
      <c r="AF3" s="230"/>
      <c r="AG3" s="230"/>
      <c r="AH3" s="230"/>
      <c r="AI3" s="230"/>
      <c r="AJ3" s="230"/>
      <c r="AK3" s="230"/>
      <c r="AL3" s="230"/>
      <c r="AM3" s="230"/>
    </row>
    <row r="4" spans="2:39" s="231" customFormat="1" ht="24.95" customHeight="1" thickBot="1">
      <c r="B4" s="246"/>
      <c r="AE4" s="232"/>
      <c r="AF4" s="232"/>
      <c r="AG4" s="232"/>
      <c r="AH4" s="232"/>
      <c r="AI4" s="232"/>
      <c r="AJ4" s="232"/>
      <c r="AK4" s="232"/>
      <c r="AL4" s="232"/>
      <c r="AM4" s="232"/>
    </row>
    <row r="5" spans="2:39" ht="24.95" customHeight="1">
      <c r="B5" s="1736" t="s">
        <v>98</v>
      </c>
      <c r="C5" s="1735"/>
      <c r="D5" s="1735"/>
      <c r="E5" s="1735" t="s">
        <v>99</v>
      </c>
      <c r="F5" s="1735"/>
      <c r="G5" s="1743" t="s">
        <v>601</v>
      </c>
      <c r="H5" s="1735" t="s">
        <v>600</v>
      </c>
      <c r="I5" s="1723" t="s">
        <v>101</v>
      </c>
      <c r="J5" s="1721" t="s">
        <v>102</v>
      </c>
      <c r="K5" s="1719" t="s">
        <v>17</v>
      </c>
      <c r="N5" s="1717" t="s">
        <v>607</v>
      </c>
    </row>
    <row r="6" spans="2:39" ht="32.25" customHeight="1" thickBot="1">
      <c r="B6" s="1737"/>
      <c r="C6" s="1738"/>
      <c r="D6" s="1738"/>
      <c r="E6" s="262" t="s">
        <v>100</v>
      </c>
      <c r="F6" s="262" t="s">
        <v>409</v>
      </c>
      <c r="G6" s="1744"/>
      <c r="H6" s="1738"/>
      <c r="I6" s="1724"/>
      <c r="J6" s="1722"/>
      <c r="K6" s="1720"/>
      <c r="N6" s="1718"/>
    </row>
    <row r="7" spans="2:39" ht="26.1" customHeight="1" thickTop="1">
      <c r="B7" s="1745" t="s">
        <v>109</v>
      </c>
      <c r="C7" s="265" t="str">
        <f>'참여감리원 현황'!B8</f>
        <v>책임감리원</v>
      </c>
      <c r="D7" s="265" t="str">
        <f>'참여감리원 현황'!D8</f>
        <v>이순신</v>
      </c>
      <c r="E7" s="264" t="s">
        <v>408</v>
      </c>
      <c r="F7" s="479" t="s">
        <v>516</v>
      </c>
      <c r="G7" s="479" t="s">
        <v>602</v>
      </c>
      <c r="H7" s="238">
        <v>4</v>
      </c>
      <c r="I7" s="478">
        <f>IF(COUNTA(F7)-COUNTA(G7)&gt;=1,0,4)</f>
        <v>4</v>
      </c>
      <c r="J7" s="879"/>
      <c r="K7" s="1734" t="s">
        <v>340</v>
      </c>
      <c r="N7" s="793" t="str">
        <f>작성요령!V6</f>
        <v>2024-09-10</v>
      </c>
      <c r="O7" s="792"/>
      <c r="P7" s="792"/>
      <c r="Q7" s="792"/>
      <c r="R7" s="792"/>
      <c r="S7" s="792"/>
      <c r="T7" s="792"/>
      <c r="U7" s="792"/>
    </row>
    <row r="8" spans="2:39" ht="26.1" customHeight="1">
      <c r="B8" s="1746"/>
      <c r="C8" s="266" t="str">
        <f>'참여감리원 현황'!B9</f>
        <v>보조감리원</v>
      </c>
      <c r="D8" s="266" t="str">
        <f>'참여감리원 현황'!D9</f>
        <v>-</v>
      </c>
      <c r="E8" s="451" t="s">
        <v>608</v>
      </c>
      <c r="F8" s="480"/>
      <c r="G8" s="480"/>
      <c r="H8" s="1742">
        <v>2</v>
      </c>
      <c r="I8" s="901">
        <f>IF(COUNTA(F8)-COUNTA(G8)&gt;=1,0,1)</f>
        <v>1</v>
      </c>
      <c r="J8" s="1725"/>
      <c r="K8" s="1732"/>
      <c r="N8" s="793">
        <f>작성요령!V7</f>
        <v>0</v>
      </c>
      <c r="O8" s="243"/>
      <c r="P8" s="243"/>
      <c r="Q8" s="243"/>
      <c r="R8" s="243"/>
      <c r="S8" s="243"/>
      <c r="T8" s="243"/>
      <c r="U8" s="243"/>
    </row>
    <row r="9" spans="2:39" ht="26.1" customHeight="1">
      <c r="B9" s="1746"/>
      <c r="C9" s="266" t="str">
        <f>'참여감리원 현황'!B10</f>
        <v>보조감리원</v>
      </c>
      <c r="D9" s="266" t="str">
        <f>'참여감리원 현황'!D10</f>
        <v>-</v>
      </c>
      <c r="E9" s="451" t="s">
        <v>608</v>
      </c>
      <c r="F9" s="480"/>
      <c r="G9" s="480"/>
      <c r="H9" s="1742"/>
      <c r="I9" s="901">
        <f>IF(COUNTA(F9)-COUNTA(G9)&gt;=1,0,1)</f>
        <v>1</v>
      </c>
      <c r="J9" s="1725"/>
      <c r="K9" s="1732"/>
      <c r="N9" s="793">
        <f>작성요령!V8</f>
        <v>0</v>
      </c>
      <c r="O9" s="243"/>
      <c r="P9" s="243"/>
      <c r="Q9" s="243"/>
      <c r="R9" s="243"/>
      <c r="S9" s="243"/>
      <c r="T9" s="243"/>
      <c r="U9" s="243"/>
    </row>
    <row r="10" spans="2:39" ht="26.1" customHeight="1">
      <c r="B10" s="1747" t="s">
        <v>110</v>
      </c>
      <c r="C10" s="1714" t="str">
        <f>'참여감리원 현황'!B11</f>
        <v>기술지원감리원</v>
      </c>
      <c r="D10" s="1739" t="str">
        <f>'참여감리원 현황'!D11</f>
        <v>안중근</v>
      </c>
      <c r="E10" s="451" t="s">
        <v>408</v>
      </c>
      <c r="F10" s="480" t="s">
        <v>515</v>
      </c>
      <c r="G10" s="480" t="s">
        <v>602</v>
      </c>
      <c r="H10" s="1742">
        <v>4</v>
      </c>
      <c r="I10" s="1733">
        <f>IF(F19-G19&gt;=9,0,IF(F19-G19=8,1,IF(F19-G19=7,2,IF(F19-G19=6,3,4))))</f>
        <v>1</v>
      </c>
      <c r="J10" s="1725"/>
      <c r="K10" s="1732" t="s">
        <v>587</v>
      </c>
      <c r="N10" s="794" t="str">
        <f>작성요령!V10</f>
        <v>2024-10-10</v>
      </c>
      <c r="O10" s="243"/>
      <c r="P10" s="243"/>
      <c r="Q10" s="243"/>
      <c r="R10" s="243"/>
      <c r="S10" s="243"/>
      <c r="T10" s="243"/>
      <c r="U10" s="243"/>
    </row>
    <row r="11" spans="2:39" ht="26.1" customHeight="1">
      <c r="B11" s="1748"/>
      <c r="C11" s="1715"/>
      <c r="D11" s="1740"/>
      <c r="E11" s="470" t="s">
        <v>408</v>
      </c>
      <c r="F11" s="480" t="s">
        <v>517</v>
      </c>
      <c r="G11" s="480"/>
      <c r="H11" s="1742"/>
      <c r="I11" s="1733"/>
      <c r="J11" s="1725"/>
      <c r="K11" s="1732"/>
      <c r="N11" s="242"/>
      <c r="O11" s="243"/>
      <c r="P11" s="243"/>
      <c r="Q11" s="243"/>
      <c r="R11" s="243"/>
      <c r="S11" s="243"/>
      <c r="T11" s="243"/>
      <c r="U11" s="243"/>
    </row>
    <row r="12" spans="2:39" ht="26.1" customHeight="1">
      <c r="B12" s="1748"/>
      <c r="C12" s="1715"/>
      <c r="D12" s="1740"/>
      <c r="E12" s="470" t="s">
        <v>408</v>
      </c>
      <c r="F12" s="480" t="s">
        <v>518</v>
      </c>
      <c r="G12" s="480"/>
      <c r="H12" s="1742"/>
      <c r="I12" s="1733"/>
      <c r="J12" s="1725"/>
      <c r="K12" s="1732"/>
      <c r="N12" s="242"/>
      <c r="O12" s="243"/>
      <c r="P12" s="243"/>
      <c r="Q12" s="243"/>
      <c r="R12" s="243"/>
      <c r="S12" s="243"/>
      <c r="T12" s="243"/>
      <c r="U12" s="243"/>
    </row>
    <row r="13" spans="2:39" ht="26.1" customHeight="1">
      <c r="B13" s="1748"/>
      <c r="C13" s="1715"/>
      <c r="D13" s="1740"/>
      <c r="E13" s="470" t="s">
        <v>408</v>
      </c>
      <c r="F13" s="480" t="s">
        <v>519</v>
      </c>
      <c r="G13" s="480"/>
      <c r="H13" s="1742"/>
      <c r="I13" s="1733"/>
      <c r="J13" s="1725"/>
      <c r="K13" s="1732"/>
      <c r="N13" s="242"/>
      <c r="O13" s="243"/>
      <c r="P13" s="243"/>
      <c r="Q13" s="243"/>
      <c r="R13" s="243"/>
      <c r="S13" s="243"/>
      <c r="T13" s="243"/>
      <c r="U13" s="243"/>
    </row>
    <row r="14" spans="2:39" ht="26.1" customHeight="1">
      <c r="B14" s="1748"/>
      <c r="C14" s="1715"/>
      <c r="D14" s="1740"/>
      <c r="E14" s="470" t="s">
        <v>408</v>
      </c>
      <c r="F14" s="480" t="s">
        <v>520</v>
      </c>
      <c r="G14" s="480"/>
      <c r="H14" s="1742"/>
      <c r="I14" s="1733"/>
      <c r="J14" s="1725"/>
      <c r="K14" s="1732"/>
      <c r="N14" s="242"/>
      <c r="O14" s="243"/>
      <c r="P14" s="243"/>
      <c r="Q14" s="243"/>
      <c r="R14" s="243"/>
      <c r="S14" s="243"/>
      <c r="T14" s="243"/>
      <c r="U14" s="243"/>
    </row>
    <row r="15" spans="2:39" ht="26.1" customHeight="1">
      <c r="B15" s="1748"/>
      <c r="C15" s="1715"/>
      <c r="D15" s="1740"/>
      <c r="E15" s="780" t="s">
        <v>408</v>
      </c>
      <c r="F15" s="480" t="s">
        <v>603</v>
      </c>
      <c r="G15" s="480"/>
      <c r="H15" s="1742"/>
      <c r="I15" s="1733"/>
      <c r="J15" s="1725"/>
      <c r="K15" s="1732"/>
      <c r="N15" s="242"/>
      <c r="O15" s="243"/>
      <c r="P15" s="243"/>
      <c r="Q15" s="243"/>
      <c r="R15" s="243"/>
      <c r="S15" s="243"/>
      <c r="T15" s="243"/>
      <c r="U15" s="243"/>
    </row>
    <row r="16" spans="2:39" ht="26.1" customHeight="1">
      <c r="B16" s="1748"/>
      <c r="C16" s="1715"/>
      <c r="D16" s="1740"/>
      <c r="E16" s="780" t="s">
        <v>408</v>
      </c>
      <c r="F16" s="480" t="s">
        <v>604</v>
      </c>
      <c r="G16" s="480"/>
      <c r="H16" s="1742"/>
      <c r="I16" s="1733"/>
      <c r="J16" s="1725"/>
      <c r="K16" s="1732"/>
      <c r="N16" s="242"/>
      <c r="O16" s="243"/>
      <c r="P16" s="243"/>
      <c r="Q16" s="243"/>
      <c r="R16" s="243"/>
      <c r="S16" s="243"/>
      <c r="T16" s="243"/>
      <c r="U16" s="243"/>
    </row>
    <row r="17" spans="2:33" ht="26.1" customHeight="1">
      <c r="B17" s="1748"/>
      <c r="C17" s="1715"/>
      <c r="D17" s="1740"/>
      <c r="E17" s="780" t="s">
        <v>408</v>
      </c>
      <c r="F17" s="480" t="s">
        <v>605</v>
      </c>
      <c r="G17" s="480"/>
      <c r="H17" s="1742"/>
      <c r="I17" s="1733"/>
      <c r="J17" s="1725"/>
      <c r="K17" s="1732"/>
      <c r="N17" s="242"/>
      <c r="O17" s="243"/>
      <c r="P17" s="243"/>
      <c r="Q17" s="243"/>
      <c r="R17" s="243"/>
      <c r="S17" s="243"/>
      <c r="T17" s="243"/>
      <c r="U17" s="243"/>
    </row>
    <row r="18" spans="2:33" ht="26.1" customHeight="1">
      <c r="B18" s="1748"/>
      <c r="C18" s="1716"/>
      <c r="D18" s="1741"/>
      <c r="E18" s="780" t="s">
        <v>408</v>
      </c>
      <c r="F18" s="480" t="s">
        <v>606</v>
      </c>
      <c r="G18" s="480"/>
      <c r="H18" s="1742"/>
      <c r="I18" s="1733"/>
      <c r="J18" s="1725"/>
      <c r="K18" s="1732"/>
      <c r="N18" s="242"/>
      <c r="O18" s="243"/>
      <c r="P18" s="243"/>
      <c r="Q18" s="243"/>
      <c r="R18" s="243"/>
      <c r="S18" s="243"/>
      <c r="T18" s="243"/>
      <c r="U18" s="243"/>
    </row>
    <row r="19" spans="2:33" ht="20.100000000000001" customHeight="1" thickBot="1">
      <c r="B19" s="1730" t="s">
        <v>81</v>
      </c>
      <c r="C19" s="1731"/>
      <c r="D19" s="1731"/>
      <c r="E19" s="1731"/>
      <c r="F19" s="263">
        <f>COUNTA(F10:F18)</f>
        <v>9</v>
      </c>
      <c r="G19" s="263">
        <f>COUNTA(G10:G18)</f>
        <v>1</v>
      </c>
      <c r="H19" s="263">
        <f>SUM(H7:H18)</f>
        <v>10</v>
      </c>
      <c r="I19" s="313">
        <f>SUM(I7:I18)</f>
        <v>7</v>
      </c>
      <c r="J19" s="240">
        <f>SUM(J7:J18)</f>
        <v>0</v>
      </c>
      <c r="K19" s="241"/>
    </row>
    <row r="20" spans="2:33" s="233" customFormat="1" ht="21.75" customHeight="1"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2:33" s="233" customFormat="1">
      <c r="B21" s="242" t="s">
        <v>84</v>
      </c>
      <c r="C21" s="242"/>
      <c r="D21" s="242"/>
      <c r="E21" s="242"/>
      <c r="F21" s="242"/>
      <c r="G21" s="242"/>
      <c r="H21" s="242"/>
      <c r="I21" s="242"/>
      <c r="J21" s="242"/>
      <c r="K21" s="243"/>
      <c r="L21" s="234"/>
      <c r="M21" s="234"/>
      <c r="N21" s="234"/>
      <c r="O21" s="234"/>
      <c r="P21" s="234"/>
      <c r="Q21" s="235"/>
      <c r="S21" s="236"/>
      <c r="AG21" s="235"/>
    </row>
    <row r="22" spans="2:33" s="233" customFormat="1">
      <c r="B22" s="242" t="s">
        <v>410</v>
      </c>
      <c r="C22" s="242"/>
      <c r="D22" s="242"/>
      <c r="E22" s="242"/>
      <c r="F22" s="242"/>
      <c r="G22" s="242"/>
      <c r="H22" s="242"/>
      <c r="I22" s="242"/>
      <c r="J22" s="242"/>
      <c r="K22" s="243"/>
      <c r="L22" s="234"/>
      <c r="M22" s="234"/>
      <c r="N22" s="234"/>
      <c r="O22" s="234"/>
      <c r="P22" s="234"/>
      <c r="Q22" s="235"/>
      <c r="S22" s="236"/>
      <c r="AG22" s="235"/>
    </row>
    <row r="23" spans="2:33" s="233" customFormat="1">
      <c r="B23" s="242" t="s">
        <v>411</v>
      </c>
      <c r="C23" s="242"/>
      <c r="D23" s="242"/>
      <c r="E23" s="242"/>
      <c r="F23" s="242"/>
      <c r="G23" s="242"/>
      <c r="H23" s="242"/>
      <c r="I23" s="242"/>
      <c r="J23" s="242"/>
      <c r="K23" s="243"/>
      <c r="L23" s="234"/>
      <c r="M23" s="234"/>
      <c r="N23" s="234"/>
      <c r="O23" s="234"/>
      <c r="P23" s="234"/>
      <c r="Q23" s="235"/>
      <c r="S23" s="236"/>
      <c r="AG23" s="235"/>
    </row>
    <row r="24" spans="2:33" s="233" customFormat="1" ht="20.100000000000001" customHeight="1">
      <c r="B24" s="242"/>
      <c r="C24" s="242"/>
      <c r="D24" s="242"/>
      <c r="E24" s="242"/>
      <c r="F24" s="242"/>
      <c r="G24" s="242"/>
      <c r="H24" s="242"/>
      <c r="I24" s="242"/>
      <c r="J24" s="242"/>
      <c r="K24" s="243"/>
      <c r="L24" s="234"/>
      <c r="M24" s="234"/>
      <c r="N24" s="234"/>
      <c r="O24" s="234"/>
      <c r="P24" s="234"/>
      <c r="Q24" s="235"/>
      <c r="S24" s="236"/>
      <c r="AG24" s="235"/>
    </row>
    <row r="25" spans="2:33" s="233" customFormat="1">
      <c r="B25" s="242"/>
      <c r="C25" s="242"/>
      <c r="D25" s="242"/>
      <c r="E25" s="242"/>
      <c r="F25" s="242"/>
      <c r="G25" s="242"/>
      <c r="H25" s="242"/>
      <c r="I25" s="242"/>
      <c r="J25" s="242"/>
      <c r="K25" s="243"/>
      <c r="L25" s="243"/>
      <c r="M25" s="243"/>
      <c r="N25" s="243"/>
      <c r="O25" s="234"/>
      <c r="P25" s="234"/>
      <c r="Q25" s="235"/>
      <c r="S25" s="236"/>
      <c r="AG25" s="235"/>
    </row>
    <row r="26" spans="2:33" s="233" customFormat="1">
      <c r="B26" s="242"/>
      <c r="C26" s="242"/>
      <c r="D26" s="242"/>
      <c r="E26" s="242"/>
      <c r="F26" s="748"/>
      <c r="G26" s="748"/>
      <c r="H26" s="242"/>
      <c r="I26" s="242"/>
      <c r="J26" s="242"/>
      <c r="K26" s="243"/>
      <c r="L26" s="243"/>
      <c r="M26" s="243"/>
      <c r="N26" s="243"/>
      <c r="O26" s="234"/>
      <c r="P26" s="234"/>
      <c r="Q26" s="235"/>
      <c r="S26" s="236"/>
      <c r="AG26" s="235"/>
    </row>
    <row r="27" spans="2:33" s="233" customFormat="1" ht="20.100000000000001" customHeight="1">
      <c r="B27" s="242"/>
      <c r="C27" s="242"/>
      <c r="D27" s="242"/>
      <c r="E27" s="242"/>
      <c r="F27" s="242"/>
      <c r="G27" s="242"/>
      <c r="H27" s="242"/>
      <c r="I27" s="242"/>
      <c r="J27" s="242"/>
      <c r="K27" s="243"/>
      <c r="L27" s="243"/>
      <c r="M27" s="243"/>
      <c r="N27" s="243"/>
      <c r="O27" s="234"/>
      <c r="P27" s="234"/>
      <c r="Q27" s="235"/>
      <c r="S27" s="236"/>
      <c r="AG27" s="235"/>
    </row>
    <row r="28" spans="2:33" ht="19.5" customHeight="1">
      <c r="B28" s="242"/>
      <c r="C28" s="242"/>
      <c r="D28" s="242"/>
      <c r="E28" s="242"/>
      <c r="F28" s="242"/>
      <c r="G28" s="242"/>
      <c r="H28" s="242"/>
      <c r="I28" s="337"/>
      <c r="J28" s="242"/>
      <c r="K28" s="242"/>
    </row>
    <row r="29" spans="2:33">
      <c r="B29" s="242"/>
      <c r="C29" s="242"/>
      <c r="D29" s="242"/>
      <c r="E29" s="242"/>
      <c r="F29" s="242"/>
      <c r="G29" s="242"/>
      <c r="H29" s="242"/>
      <c r="I29" s="338"/>
      <c r="J29" s="339"/>
      <c r="K29" s="242"/>
    </row>
    <row r="30" spans="2:33">
      <c r="B30" s="242"/>
      <c r="C30" s="242"/>
      <c r="D30" s="242"/>
      <c r="E30" s="242"/>
      <c r="F30" s="242"/>
      <c r="G30" s="242"/>
      <c r="H30" s="242"/>
      <c r="I30" s="338"/>
      <c r="J30" s="339"/>
      <c r="K30" s="242"/>
    </row>
    <row r="31" spans="2:33">
      <c r="B31" s="242"/>
      <c r="C31" s="242"/>
      <c r="D31" s="242"/>
      <c r="E31" s="242"/>
      <c r="F31" s="242"/>
      <c r="G31" s="242"/>
      <c r="H31" s="242"/>
      <c r="I31" s="338"/>
      <c r="J31" s="339"/>
      <c r="K31" s="242"/>
    </row>
  </sheetData>
  <customSheetViews>
    <customSheetView guid="{3C925556-11AB-420F-9574-511192FFD696}" showPageBreaks="1" printArea="1" view="pageBreakPreview">
      <selection activeCell="O9" sqref="O9"/>
      <pageMargins left="0.66" right="0.26" top="1" bottom="1" header="0.5" footer="0.5"/>
      <pageSetup paperSize="9" scale="87" orientation="portrait" r:id="rId1"/>
      <headerFooter alignWithMargins="0"/>
    </customSheetView>
  </customSheetViews>
  <mergeCells count="22">
    <mergeCell ref="I3:J3"/>
    <mergeCell ref="I2:J2"/>
    <mergeCell ref="B19:E19"/>
    <mergeCell ref="K10:K18"/>
    <mergeCell ref="I10:I18"/>
    <mergeCell ref="J10:J18"/>
    <mergeCell ref="K7:K9"/>
    <mergeCell ref="E5:F5"/>
    <mergeCell ref="B5:D6"/>
    <mergeCell ref="H5:H6"/>
    <mergeCell ref="D10:D18"/>
    <mergeCell ref="H8:H9"/>
    <mergeCell ref="G5:G6"/>
    <mergeCell ref="H10:H18"/>
    <mergeCell ref="B7:B9"/>
    <mergeCell ref="B10:B18"/>
    <mergeCell ref="C10:C18"/>
    <mergeCell ref="N5:N6"/>
    <mergeCell ref="K5:K6"/>
    <mergeCell ref="J5:J6"/>
    <mergeCell ref="I5:I6"/>
    <mergeCell ref="J8:J9"/>
  </mergeCells>
  <phoneticPr fontId="4" type="noConversion"/>
  <dataValidations count="1">
    <dataValidation type="list" allowBlank="1" showInputMessage="1" showErrorMessage="1" sqref="G7:G18" xr:uid="{00000000-0002-0000-0900-000000000000}">
      <formula1>"제출완료"</formula1>
    </dataValidation>
  </dataValidations>
  <pageMargins left="0.66" right="0.26" top="1" bottom="1" header="0.5" footer="0.5"/>
  <pageSetup paperSize="9" scale="80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FF"/>
  </sheetPr>
  <dimension ref="B1:AK28"/>
  <sheetViews>
    <sheetView showGridLines="0" view="pageBreakPreview" zoomScaleNormal="100" zoomScaleSheetLayoutView="100" workbookViewId="0">
      <selection activeCell="G19" sqref="G19"/>
    </sheetView>
  </sheetViews>
  <sheetFormatPr defaultRowHeight="16.5"/>
  <cols>
    <col min="1" max="1" width="1.77734375" style="215" customWidth="1"/>
    <col min="2" max="2" width="15.5546875" style="215" customWidth="1"/>
    <col min="3" max="3" width="7.88671875" style="215" customWidth="1"/>
    <col min="4" max="4" width="10.33203125" style="215" customWidth="1"/>
    <col min="5" max="5" width="7.44140625" style="215" customWidth="1"/>
    <col min="6" max="6" width="8.5546875" style="215" customWidth="1"/>
    <col min="7" max="7" width="9.21875" style="215" customWidth="1"/>
    <col min="8" max="8" width="7" style="215" customWidth="1"/>
    <col min="9" max="9" width="6.77734375" style="215" customWidth="1"/>
    <col min="10" max="10" width="9.77734375" style="248" customWidth="1"/>
    <col min="11" max="11" width="9.77734375" style="249" customWidth="1"/>
    <col min="12" max="13" width="1.77734375" style="215" customWidth="1"/>
    <col min="14" max="18" width="8.88671875" style="230"/>
    <col min="19" max="16384" width="8.88671875" style="215"/>
  </cols>
  <sheetData>
    <row r="1" spans="2:37" ht="17.25" thickBot="1">
      <c r="AC1" s="230"/>
      <c r="AD1" s="230"/>
      <c r="AE1" s="230"/>
      <c r="AF1" s="230"/>
      <c r="AG1" s="230"/>
      <c r="AH1" s="230"/>
      <c r="AI1" s="230"/>
      <c r="AJ1" s="230"/>
      <c r="AK1" s="230"/>
    </row>
    <row r="2" spans="2:37" s="231" customFormat="1" ht="24">
      <c r="B2" s="485" t="s">
        <v>342</v>
      </c>
      <c r="H2" s="1755" t="s">
        <v>229</v>
      </c>
      <c r="I2" s="1756"/>
      <c r="J2" s="1752" t="s">
        <v>613</v>
      </c>
      <c r="K2" s="1753"/>
      <c r="N2" s="232"/>
      <c r="O2" s="232"/>
      <c r="P2" s="232"/>
      <c r="Q2" s="232"/>
      <c r="R2" s="232"/>
      <c r="AC2" s="232"/>
      <c r="AD2" s="232"/>
      <c r="AE2" s="232"/>
      <c r="AF2" s="232"/>
      <c r="AG2" s="232"/>
      <c r="AH2" s="232"/>
      <c r="AI2" s="232"/>
      <c r="AJ2" s="232"/>
      <c r="AK2" s="232"/>
    </row>
    <row r="3" spans="2:37" s="231" customFormat="1" ht="20.25">
      <c r="B3" s="239"/>
      <c r="H3" s="1757"/>
      <c r="I3" s="1758"/>
      <c r="J3" s="483" t="s">
        <v>205</v>
      </c>
      <c r="K3" s="484" t="s">
        <v>206</v>
      </c>
      <c r="N3" s="232"/>
      <c r="O3" s="232"/>
      <c r="P3" s="232"/>
      <c r="Q3" s="232"/>
      <c r="R3" s="232"/>
      <c r="AC3" s="232"/>
      <c r="AD3" s="232"/>
      <c r="AE3" s="232"/>
      <c r="AF3" s="232"/>
      <c r="AG3" s="232"/>
      <c r="AH3" s="232"/>
      <c r="AI3" s="232"/>
      <c r="AJ3" s="232"/>
      <c r="AK3" s="232"/>
    </row>
    <row r="4" spans="2:37" s="231" customFormat="1" ht="21" thickBot="1">
      <c r="B4" s="239"/>
      <c r="H4" s="1759">
        <f>작성요령!V19</f>
        <v>45292</v>
      </c>
      <c r="I4" s="1760"/>
      <c r="J4" s="481">
        <f>K4-365</f>
        <v>44927</v>
      </c>
      <c r="K4" s="482">
        <f>H4</f>
        <v>45292</v>
      </c>
      <c r="N4" s="232"/>
      <c r="O4" s="232"/>
      <c r="P4" s="232"/>
      <c r="Q4" s="232"/>
      <c r="R4" s="232"/>
      <c r="AC4" s="232"/>
      <c r="AD4" s="232"/>
      <c r="AE4" s="232"/>
      <c r="AF4" s="232"/>
      <c r="AG4" s="232"/>
      <c r="AH4" s="232"/>
      <c r="AI4" s="232"/>
      <c r="AJ4" s="232"/>
      <c r="AK4" s="232"/>
    </row>
    <row r="5" spans="2:37" s="247" customFormat="1" ht="20.25" thickBot="1">
      <c r="B5" s="486" t="s">
        <v>572</v>
      </c>
      <c r="J5" s="252"/>
      <c r="K5" s="253"/>
      <c r="N5" s="254"/>
      <c r="O5" s="254"/>
      <c r="P5" s="254"/>
      <c r="Q5" s="254"/>
      <c r="R5" s="254"/>
    </row>
    <row r="6" spans="2:37" ht="21" customHeight="1">
      <c r="B6" s="1780" t="s">
        <v>234</v>
      </c>
      <c r="C6" s="1777" t="s">
        <v>103</v>
      </c>
      <c r="D6" s="1778"/>
      <c r="E6" s="1778"/>
      <c r="F6" s="1778"/>
      <c r="G6" s="1778"/>
      <c r="H6" s="1778"/>
      <c r="I6" s="1779"/>
      <c r="J6" s="1786" t="s">
        <v>77</v>
      </c>
      <c r="K6" s="1749" t="s">
        <v>105</v>
      </c>
      <c r="N6" s="215"/>
    </row>
    <row r="7" spans="2:37" ht="21" customHeight="1">
      <c r="B7" s="1781"/>
      <c r="C7" s="1775" t="s">
        <v>598</v>
      </c>
      <c r="D7" s="1775"/>
      <c r="E7" s="1775"/>
      <c r="F7" s="1775"/>
      <c r="G7" s="1775"/>
      <c r="H7" s="1776"/>
      <c r="I7" s="412"/>
      <c r="J7" s="1787"/>
      <c r="K7" s="1750"/>
      <c r="N7" s="267"/>
    </row>
    <row r="8" spans="2:37" ht="16.5" customHeight="1">
      <c r="B8" s="1781"/>
      <c r="C8" s="1775" t="s">
        <v>341</v>
      </c>
      <c r="D8" s="1775"/>
      <c r="E8" s="1775"/>
      <c r="F8" s="1789" t="s">
        <v>609</v>
      </c>
      <c r="G8" s="1789"/>
      <c r="H8" s="1789"/>
      <c r="I8" s="1783" t="s">
        <v>106</v>
      </c>
      <c r="J8" s="1787"/>
      <c r="K8" s="1750"/>
      <c r="N8" s="267"/>
    </row>
    <row r="9" spans="2:37">
      <c r="B9" s="1781"/>
      <c r="C9" s="1775"/>
      <c r="D9" s="1775"/>
      <c r="E9" s="1775"/>
      <c r="F9" s="1789"/>
      <c r="G9" s="1789"/>
      <c r="H9" s="1789"/>
      <c r="I9" s="1784"/>
      <c r="J9" s="1787"/>
      <c r="K9" s="1750"/>
      <c r="N9" s="489"/>
      <c r="O9" s="327"/>
      <c r="P9" s="489"/>
      <c r="Q9" s="489"/>
      <c r="R9" s="327"/>
    </row>
    <row r="10" spans="2:37" ht="17.25" thickBot="1">
      <c r="B10" s="1782"/>
      <c r="C10" s="795" t="s">
        <v>610</v>
      </c>
      <c r="D10" s="781" t="s">
        <v>611</v>
      </c>
      <c r="E10" s="796" t="s">
        <v>612</v>
      </c>
      <c r="F10" s="795" t="s">
        <v>610</v>
      </c>
      <c r="G10" s="781" t="s">
        <v>611</v>
      </c>
      <c r="H10" s="796" t="s">
        <v>612</v>
      </c>
      <c r="I10" s="1785"/>
      <c r="J10" s="1788"/>
      <c r="K10" s="1751"/>
      <c r="N10" s="489"/>
      <c r="O10" s="327"/>
      <c r="P10" s="489"/>
      <c r="Q10" s="489"/>
      <c r="R10" s="327"/>
    </row>
    <row r="11" spans="2:37" ht="30" customHeight="1" thickTop="1" thickBot="1">
      <c r="B11" s="577" t="str">
        <f>작성요령!V17</f>
        <v>AAAA엔지니어링</v>
      </c>
      <c r="C11" s="782">
        <v>0</v>
      </c>
      <c r="D11" s="797">
        <v>0</v>
      </c>
      <c r="E11" s="799">
        <f>SUM(C11:D11)</f>
        <v>0</v>
      </c>
      <c r="F11" s="783">
        <v>1</v>
      </c>
      <c r="G11" s="798">
        <v>0.4</v>
      </c>
      <c r="H11" s="799">
        <f>SUM(F11:G11)</f>
        <v>1.4</v>
      </c>
      <c r="I11" s="413">
        <f>(E11/H11)*100</f>
        <v>0</v>
      </c>
      <c r="J11" s="487">
        <f>IF(I11&lt;10,2.5,IF(AND(I11&gt;=10,I11&lt;20),2,IF(AND(I11&gt;=20,I11&lt;30),1.5,0)))</f>
        <v>2.5</v>
      </c>
      <c r="K11" s="488"/>
      <c r="N11" s="327"/>
      <c r="O11" s="490"/>
      <c r="P11" s="490"/>
      <c r="Q11" s="490"/>
      <c r="R11" s="490"/>
    </row>
    <row r="12" spans="2:37" ht="20.100000000000001" customHeight="1">
      <c r="C12" s="247"/>
      <c r="D12" s="247"/>
      <c r="E12" s="247"/>
      <c r="F12" s="247"/>
      <c r="G12" s="247"/>
      <c r="H12" s="247"/>
      <c r="I12" s="247"/>
      <c r="J12" s="252"/>
      <c r="K12" s="253"/>
      <c r="N12" s="491"/>
      <c r="O12" s="491"/>
      <c r="P12" s="492"/>
      <c r="Q12" s="493"/>
      <c r="R12" s="491"/>
      <c r="S12" s="230"/>
      <c r="T12" s="230"/>
      <c r="U12" s="230"/>
      <c r="V12" s="230"/>
      <c r="W12" s="230"/>
    </row>
    <row r="13" spans="2:37" ht="20.100000000000001" customHeight="1" thickBot="1">
      <c r="B13" s="486" t="s">
        <v>573</v>
      </c>
      <c r="C13" s="247"/>
      <c r="D13" s="247"/>
      <c r="E13" s="247"/>
      <c r="F13" s="247"/>
      <c r="G13" s="247"/>
      <c r="H13" s="247"/>
      <c r="I13" s="247"/>
      <c r="J13" s="252"/>
      <c r="K13" s="253"/>
      <c r="O13" s="215"/>
      <c r="P13" s="248"/>
      <c r="Q13" s="249"/>
      <c r="R13" s="215"/>
      <c r="S13" s="230"/>
      <c r="T13" s="230"/>
      <c r="U13" s="230"/>
      <c r="V13" s="230"/>
      <c r="W13" s="230"/>
    </row>
    <row r="14" spans="2:37" ht="20.100000000000001" customHeight="1">
      <c r="B14" s="1791" t="s">
        <v>238</v>
      </c>
      <c r="C14" s="1792"/>
      <c r="D14" s="1795" t="s">
        <v>107</v>
      </c>
      <c r="E14" s="1796"/>
      <c r="F14" s="1797"/>
      <c r="G14" s="1777" t="s">
        <v>104</v>
      </c>
      <c r="H14" s="1778"/>
      <c r="I14" s="1779"/>
      <c r="J14" s="1770" t="s">
        <v>77</v>
      </c>
      <c r="K14" s="1761" t="s">
        <v>78</v>
      </c>
      <c r="N14" s="215"/>
      <c r="O14" s="215"/>
      <c r="P14" s="248"/>
      <c r="Q14" s="249"/>
      <c r="R14" s="215"/>
      <c r="S14" s="230"/>
      <c r="T14" s="230"/>
      <c r="U14" s="230"/>
      <c r="V14" s="230"/>
      <c r="W14" s="230"/>
    </row>
    <row r="15" spans="2:37" ht="20.100000000000001" customHeight="1" thickBot="1">
      <c r="B15" s="1793"/>
      <c r="C15" s="1794"/>
      <c r="D15" s="1798"/>
      <c r="E15" s="1799"/>
      <c r="F15" s="1800"/>
      <c r="G15" s="245" t="s">
        <v>235</v>
      </c>
      <c r="H15" s="245" t="s">
        <v>236</v>
      </c>
      <c r="I15" s="245" t="s">
        <v>237</v>
      </c>
      <c r="J15" s="1771"/>
      <c r="K15" s="1762"/>
      <c r="N15" s="267"/>
      <c r="O15" s="215"/>
      <c r="P15" s="248"/>
      <c r="Q15" s="249"/>
      <c r="R15" s="215"/>
      <c r="S15" s="230"/>
      <c r="T15" s="230"/>
      <c r="U15" s="230"/>
      <c r="V15" s="230"/>
      <c r="W15" s="230"/>
    </row>
    <row r="16" spans="2:37" ht="20.100000000000001" customHeight="1" thickTop="1">
      <c r="B16" s="1772" t="str">
        <f>'참여감리원 현황'!B8</f>
        <v>책임감리원</v>
      </c>
      <c r="C16" s="1715" t="str">
        <f>'참여감리원 현황'!D8</f>
        <v>이순신</v>
      </c>
      <c r="D16" s="1790" t="s">
        <v>343</v>
      </c>
      <c r="E16" s="1790"/>
      <c r="F16" s="1790"/>
      <c r="G16" s="261" t="s">
        <v>109</v>
      </c>
      <c r="H16" s="244">
        <v>0</v>
      </c>
      <c r="I16" s="261">
        <f>IF(G16="상주",-0.5,-0.1)*H16</f>
        <v>0</v>
      </c>
      <c r="J16" s="1766">
        <f>2.5+I24</f>
        <v>2.5</v>
      </c>
      <c r="K16" s="1763"/>
      <c r="N16" s="215"/>
      <c r="O16" s="215"/>
      <c r="P16" s="248"/>
      <c r="Q16" s="249"/>
      <c r="R16" s="215"/>
      <c r="S16" s="230"/>
      <c r="T16" s="230"/>
      <c r="U16" s="230"/>
      <c r="V16" s="230"/>
      <c r="W16" s="230"/>
    </row>
    <row r="17" spans="2:23" ht="20.100000000000001" customHeight="1">
      <c r="B17" s="1773"/>
      <c r="C17" s="1716"/>
      <c r="D17" s="1754"/>
      <c r="E17" s="1754"/>
      <c r="F17" s="1754"/>
      <c r="G17" s="260" t="s">
        <v>110</v>
      </c>
      <c r="H17" s="237">
        <v>0</v>
      </c>
      <c r="I17" s="260">
        <f>IF(G17="상주",-0.5,-0.1)*H17</f>
        <v>0</v>
      </c>
      <c r="J17" s="1767"/>
      <c r="K17" s="1764"/>
      <c r="N17" s="215"/>
      <c r="O17" s="215"/>
      <c r="P17" s="248"/>
      <c r="Q17" s="249"/>
      <c r="R17" s="215"/>
      <c r="S17" s="230"/>
      <c r="T17" s="230"/>
      <c r="U17" s="230"/>
      <c r="V17" s="230"/>
      <c r="W17" s="230"/>
    </row>
    <row r="18" spans="2:23" ht="20.100000000000001" customHeight="1">
      <c r="B18" s="1774" t="str">
        <f>'참여감리원 현황'!B9</f>
        <v>보조감리원</v>
      </c>
      <c r="C18" s="1714" t="str">
        <f>'참여감리원 현황'!D9</f>
        <v>-</v>
      </c>
      <c r="D18" s="1754"/>
      <c r="E18" s="1754"/>
      <c r="F18" s="1754"/>
      <c r="G18" s="260" t="s">
        <v>109</v>
      </c>
      <c r="H18" s="237"/>
      <c r="I18" s="260">
        <f t="shared" ref="I18:I23" si="0">IF(G18="상주",-0.5,-0.1)*H18</f>
        <v>0</v>
      </c>
      <c r="J18" s="1767"/>
      <c r="K18" s="1764"/>
      <c r="N18" s="215"/>
      <c r="O18" s="215"/>
      <c r="P18" s="248"/>
      <c r="Q18" s="249"/>
      <c r="R18" s="215"/>
      <c r="S18" s="230"/>
      <c r="T18" s="230"/>
      <c r="U18" s="230"/>
      <c r="V18" s="230"/>
      <c r="W18" s="230"/>
    </row>
    <row r="19" spans="2:23" ht="20.100000000000001" customHeight="1">
      <c r="B19" s="1772"/>
      <c r="C19" s="1716"/>
      <c r="D19" s="1754"/>
      <c r="E19" s="1754"/>
      <c r="F19" s="1754"/>
      <c r="G19" s="260" t="s">
        <v>110</v>
      </c>
      <c r="H19" s="237"/>
      <c r="I19" s="260">
        <f t="shared" si="0"/>
        <v>0</v>
      </c>
      <c r="J19" s="1767"/>
      <c r="K19" s="1764"/>
      <c r="N19" s="215"/>
      <c r="O19" s="215"/>
      <c r="P19" s="248"/>
      <c r="Q19" s="249"/>
      <c r="R19" s="215"/>
      <c r="S19" s="230"/>
      <c r="T19" s="230"/>
      <c r="U19" s="230"/>
      <c r="V19" s="230"/>
      <c r="W19" s="230"/>
    </row>
    <row r="20" spans="2:23" ht="20.100000000000001" customHeight="1">
      <c r="B20" s="1772"/>
      <c r="C20" s="1714" t="str">
        <f>'참여감리원 현황'!D10</f>
        <v>-</v>
      </c>
      <c r="D20" s="1754"/>
      <c r="E20" s="1754"/>
      <c r="F20" s="1754"/>
      <c r="G20" s="260" t="s">
        <v>109</v>
      </c>
      <c r="H20" s="237"/>
      <c r="I20" s="260">
        <f t="shared" si="0"/>
        <v>0</v>
      </c>
      <c r="J20" s="1767"/>
      <c r="K20" s="1764"/>
      <c r="N20" s="215"/>
      <c r="O20" s="215"/>
      <c r="P20" s="248"/>
      <c r="Q20" s="249"/>
      <c r="R20" s="215"/>
      <c r="S20" s="230"/>
      <c r="T20" s="230"/>
      <c r="U20" s="230"/>
      <c r="V20" s="230"/>
      <c r="W20" s="230"/>
    </row>
    <row r="21" spans="2:23" ht="20.100000000000001" customHeight="1">
      <c r="B21" s="1772"/>
      <c r="C21" s="1716"/>
      <c r="D21" s="1754"/>
      <c r="E21" s="1754"/>
      <c r="F21" s="1754"/>
      <c r="G21" s="260" t="s">
        <v>110</v>
      </c>
      <c r="H21" s="237"/>
      <c r="I21" s="260">
        <f t="shared" si="0"/>
        <v>0</v>
      </c>
      <c r="J21" s="1767"/>
      <c r="K21" s="1764"/>
      <c r="N21" s="215"/>
      <c r="O21" s="215"/>
      <c r="P21" s="248"/>
      <c r="Q21" s="249"/>
      <c r="R21" s="215"/>
      <c r="S21" s="230"/>
      <c r="T21" s="230"/>
      <c r="U21" s="230"/>
      <c r="V21" s="230"/>
      <c r="W21" s="230"/>
    </row>
    <row r="22" spans="2:23" ht="20.100000000000001" customHeight="1">
      <c r="B22" s="1774" t="str">
        <f>'참여감리원 현황'!B11</f>
        <v>기술지원감리원</v>
      </c>
      <c r="C22" s="1714" t="str">
        <f>'참여감리원 현황'!D11</f>
        <v>안중근</v>
      </c>
      <c r="D22" s="1754"/>
      <c r="E22" s="1754"/>
      <c r="F22" s="1754"/>
      <c r="G22" s="260" t="s">
        <v>109</v>
      </c>
      <c r="H22" s="237"/>
      <c r="I22" s="260">
        <f t="shared" si="0"/>
        <v>0</v>
      </c>
      <c r="J22" s="1767"/>
      <c r="K22" s="1764"/>
      <c r="N22" s="215"/>
      <c r="O22" s="215"/>
      <c r="P22" s="248"/>
      <c r="Q22" s="249"/>
      <c r="R22" s="215"/>
      <c r="S22" s="230"/>
      <c r="T22" s="230"/>
      <c r="U22" s="230"/>
      <c r="V22" s="230"/>
      <c r="W22" s="230"/>
    </row>
    <row r="23" spans="2:23" ht="20.100000000000001" customHeight="1">
      <c r="B23" s="1773"/>
      <c r="C23" s="1716"/>
      <c r="D23" s="1754"/>
      <c r="E23" s="1754"/>
      <c r="F23" s="1754"/>
      <c r="G23" s="260" t="s">
        <v>110</v>
      </c>
      <c r="H23" s="237"/>
      <c r="I23" s="260">
        <f t="shared" si="0"/>
        <v>0</v>
      </c>
      <c r="J23" s="1767"/>
      <c r="K23" s="1764"/>
      <c r="N23" s="215"/>
      <c r="O23" s="215"/>
      <c r="P23" s="248"/>
      <c r="Q23" s="249"/>
      <c r="R23" s="215"/>
      <c r="S23" s="230"/>
      <c r="T23" s="230"/>
      <c r="U23" s="230"/>
      <c r="V23" s="230"/>
      <c r="W23" s="230"/>
    </row>
    <row r="24" spans="2:23" ht="24.95" customHeight="1" thickBot="1">
      <c r="B24" s="1730" t="s">
        <v>19</v>
      </c>
      <c r="C24" s="1731"/>
      <c r="D24" s="1731"/>
      <c r="E24" s="1731"/>
      <c r="F24" s="1731"/>
      <c r="G24" s="1769"/>
      <c r="H24" s="635">
        <f>SUM(H16:H23)</f>
        <v>0</v>
      </c>
      <c r="I24" s="634">
        <f>SUM(I16:I23)</f>
        <v>0</v>
      </c>
      <c r="J24" s="1768"/>
      <c r="K24" s="1765"/>
    </row>
    <row r="25" spans="2:23">
      <c r="B25" s="259"/>
      <c r="C25" s="233"/>
      <c r="D25" s="233"/>
      <c r="E25" s="233"/>
      <c r="F25" s="233"/>
      <c r="G25" s="233"/>
      <c r="H25" s="233"/>
      <c r="I25" s="233"/>
      <c r="J25" s="257"/>
      <c r="K25" s="258"/>
    </row>
    <row r="26" spans="2:23">
      <c r="B26" s="340" t="s">
        <v>84</v>
      </c>
      <c r="C26" s="242"/>
      <c r="D26" s="242"/>
      <c r="E26" s="242"/>
      <c r="F26" s="242"/>
      <c r="G26" s="242"/>
      <c r="H26" s="242"/>
      <c r="I26" s="242"/>
      <c r="J26" s="344"/>
      <c r="K26" s="345"/>
      <c r="L26" s="242"/>
    </row>
    <row r="27" spans="2:23">
      <c r="B27" s="242" t="s">
        <v>412</v>
      </c>
      <c r="C27" s="242"/>
      <c r="D27" s="242"/>
      <c r="E27" s="242"/>
      <c r="F27" s="242"/>
      <c r="G27" s="242"/>
      <c r="H27" s="242"/>
      <c r="I27" s="242"/>
      <c r="J27" s="344"/>
      <c r="K27" s="345"/>
      <c r="L27" s="242"/>
    </row>
    <row r="28" spans="2:23">
      <c r="B28" s="242"/>
      <c r="C28" s="242"/>
      <c r="D28" s="242"/>
      <c r="E28" s="242"/>
      <c r="F28" s="242"/>
      <c r="G28" s="242"/>
      <c r="H28" s="242"/>
      <c r="I28" s="242"/>
      <c r="J28" s="344"/>
      <c r="K28" s="345"/>
      <c r="L28" s="242"/>
    </row>
  </sheetData>
  <customSheetViews>
    <customSheetView guid="{3C925556-11AB-420F-9574-511192FFD696}" scale="115" showPageBreaks="1" printArea="1" view="pageBreakPreview" topLeftCell="A28">
      <selection activeCell="N16" sqref="N16"/>
      <pageMargins left="0.75" right="0.75" top="1" bottom="1" header="0.5" footer="0.5"/>
      <pageSetup paperSize="9" scale="83" orientation="portrait" r:id="rId1"/>
      <headerFooter alignWithMargins="0"/>
    </customSheetView>
  </customSheetViews>
  <mergeCells count="30">
    <mergeCell ref="D20:F21"/>
    <mergeCell ref="C8:E9"/>
    <mergeCell ref="F8:H9"/>
    <mergeCell ref="C20:C21"/>
    <mergeCell ref="C16:C17"/>
    <mergeCell ref="D16:F17"/>
    <mergeCell ref="B14:C15"/>
    <mergeCell ref="D14:F15"/>
    <mergeCell ref="G14:I14"/>
    <mergeCell ref="C6:I6"/>
    <mergeCell ref="B6:B10"/>
    <mergeCell ref="I8:I10"/>
    <mergeCell ref="J6:J10"/>
    <mergeCell ref="D18:F19"/>
    <mergeCell ref="K6:K10"/>
    <mergeCell ref="J2:K2"/>
    <mergeCell ref="C22:C23"/>
    <mergeCell ref="D22:F23"/>
    <mergeCell ref="H2:I3"/>
    <mergeCell ref="H4:I4"/>
    <mergeCell ref="K14:K15"/>
    <mergeCell ref="K16:K24"/>
    <mergeCell ref="J16:J24"/>
    <mergeCell ref="B24:G24"/>
    <mergeCell ref="J14:J15"/>
    <mergeCell ref="B16:B17"/>
    <mergeCell ref="C18:C19"/>
    <mergeCell ref="B22:B23"/>
    <mergeCell ref="B18:B21"/>
    <mergeCell ref="C7:H7"/>
  </mergeCells>
  <phoneticPr fontId="4" type="noConversion"/>
  <pageMargins left="0.75" right="0.75" top="1" bottom="1" header="0.5" footer="0.5"/>
  <pageSetup paperSize="9" scale="78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66FF"/>
  </sheetPr>
  <dimension ref="A1:AG14"/>
  <sheetViews>
    <sheetView showGridLines="0" view="pageBreakPreview" topLeftCell="A4" zoomScaleNormal="100" zoomScaleSheetLayoutView="100" workbookViewId="0"/>
  </sheetViews>
  <sheetFormatPr defaultRowHeight="16.5"/>
  <cols>
    <col min="1" max="1" width="1.77734375" style="215" customWidth="1"/>
    <col min="2" max="2" width="8.88671875" style="215" customWidth="1"/>
    <col min="3" max="3" width="9.44140625" style="215" customWidth="1"/>
    <col min="4" max="4" width="46.21875" style="215" customWidth="1"/>
    <col min="5" max="6" width="10.77734375" style="215" customWidth="1"/>
    <col min="7" max="7" width="10.77734375" style="248" customWidth="1"/>
    <col min="8" max="9" width="1.77734375" style="215" customWidth="1"/>
    <col min="10" max="14" width="8.88671875" style="230"/>
    <col min="15" max="16384" width="8.88671875" style="215"/>
  </cols>
  <sheetData>
    <row r="1" spans="1:33">
      <c r="Y1" s="230"/>
      <c r="Z1" s="230"/>
      <c r="AA1" s="230"/>
      <c r="AB1" s="230"/>
      <c r="AC1" s="230"/>
      <c r="AD1" s="230"/>
      <c r="AE1" s="230"/>
      <c r="AF1" s="230"/>
      <c r="AG1" s="230"/>
    </row>
    <row r="2" spans="1:33" s="231" customFormat="1" ht="24">
      <c r="B2" s="485" t="s">
        <v>239</v>
      </c>
      <c r="G2" s="250"/>
      <c r="J2" s="232"/>
      <c r="K2" s="232"/>
      <c r="L2" s="232"/>
      <c r="M2" s="232"/>
      <c r="N2" s="232"/>
      <c r="Y2" s="232"/>
      <c r="Z2" s="232"/>
      <c r="AA2" s="232"/>
      <c r="AB2" s="232"/>
      <c r="AC2" s="232"/>
      <c r="AD2" s="232"/>
      <c r="AE2" s="232"/>
      <c r="AF2" s="232"/>
      <c r="AG2" s="232"/>
    </row>
    <row r="3" spans="1:33" s="231" customFormat="1" ht="17.25">
      <c r="B3" s="233"/>
      <c r="G3" s="250"/>
      <c r="J3" s="215"/>
      <c r="K3" s="232"/>
      <c r="L3" s="232"/>
      <c r="M3" s="232"/>
      <c r="N3" s="232"/>
      <c r="Y3" s="232"/>
      <c r="Z3" s="232"/>
      <c r="AA3" s="232"/>
      <c r="AB3" s="232"/>
      <c r="AC3" s="232"/>
      <c r="AD3" s="232"/>
      <c r="AE3" s="232"/>
      <c r="AF3" s="232"/>
      <c r="AG3" s="232"/>
    </row>
    <row r="4" spans="1:33" ht="17.25" thickBot="1"/>
    <row r="5" spans="1:33" ht="37.5" customHeight="1" thickBot="1">
      <c r="A5" s="215" t="s">
        <v>246</v>
      </c>
      <c r="B5" s="392" t="s">
        <v>346</v>
      </c>
      <c r="C5" s="1801" t="s">
        <v>347</v>
      </c>
      <c r="D5" s="1802"/>
      <c r="E5" s="271" t="s">
        <v>247</v>
      </c>
      <c r="F5" s="272" t="s">
        <v>77</v>
      </c>
      <c r="G5" s="273" t="s">
        <v>78</v>
      </c>
      <c r="J5" s="215"/>
      <c r="K5" s="215"/>
      <c r="L5" s="215"/>
      <c r="M5" s="215"/>
      <c r="N5" s="215"/>
    </row>
    <row r="6" spans="1:33" s="247" customFormat="1" ht="30" customHeight="1" thickTop="1">
      <c r="B6" s="1803" t="s">
        <v>692</v>
      </c>
      <c r="C6" s="1806" t="s">
        <v>245</v>
      </c>
      <c r="D6" s="1806"/>
      <c r="E6" s="270" t="s">
        <v>253</v>
      </c>
      <c r="F6" s="1807">
        <f>IF(AND(E6="준수",E7="O"),5,IF(E6="미제출",0,3))</f>
        <v>5</v>
      </c>
      <c r="G6" s="1809"/>
    </row>
    <row r="7" spans="1:33" ht="30" customHeight="1">
      <c r="B7" s="1804"/>
      <c r="C7" s="1811" t="s">
        <v>244</v>
      </c>
      <c r="D7" s="1811"/>
      <c r="E7" s="269" t="str">
        <f>IF(COUNTA(E8:E12)=5,"O","X")</f>
        <v>O</v>
      </c>
      <c r="F7" s="1807"/>
      <c r="G7" s="1809"/>
      <c r="J7" s="215"/>
      <c r="K7" s="215"/>
      <c r="L7" s="215"/>
      <c r="M7" s="215"/>
      <c r="N7" s="215"/>
    </row>
    <row r="8" spans="1:33" ht="69.75" customHeight="1">
      <c r="B8" s="1804"/>
      <c r="C8" s="1812" t="s">
        <v>240</v>
      </c>
      <c r="D8" s="274" t="s">
        <v>344</v>
      </c>
      <c r="E8" s="268" t="s">
        <v>256</v>
      </c>
      <c r="F8" s="1807"/>
      <c r="G8" s="1809"/>
      <c r="J8" s="215"/>
      <c r="K8" s="215"/>
      <c r="L8" s="215"/>
      <c r="M8" s="215"/>
      <c r="N8" s="215"/>
    </row>
    <row r="9" spans="1:33" ht="24.95" customHeight="1">
      <c r="B9" s="1804"/>
      <c r="C9" s="1812"/>
      <c r="D9" s="275" t="s">
        <v>345</v>
      </c>
      <c r="E9" s="268" t="s">
        <v>256</v>
      </c>
      <c r="F9" s="1807"/>
      <c r="G9" s="1809"/>
      <c r="J9" s="215"/>
      <c r="K9" s="215"/>
      <c r="L9" s="215"/>
      <c r="M9" s="215"/>
      <c r="N9" s="215"/>
    </row>
    <row r="10" spans="1:33" ht="24.95" customHeight="1">
      <c r="B10" s="1804"/>
      <c r="C10" s="1812"/>
      <c r="D10" s="275" t="s">
        <v>241</v>
      </c>
      <c r="E10" s="268" t="s">
        <v>256</v>
      </c>
      <c r="F10" s="1807"/>
      <c r="G10" s="1809"/>
      <c r="J10" s="215"/>
      <c r="K10" s="215"/>
      <c r="L10" s="215"/>
      <c r="M10" s="215"/>
      <c r="N10" s="215"/>
    </row>
    <row r="11" spans="1:33" ht="24.95" customHeight="1">
      <c r="B11" s="1804"/>
      <c r="C11" s="1812"/>
      <c r="D11" s="275" t="s">
        <v>242</v>
      </c>
      <c r="E11" s="268" t="s">
        <v>256</v>
      </c>
      <c r="F11" s="1807"/>
      <c r="G11" s="1809"/>
      <c r="J11" s="215"/>
      <c r="K11" s="215"/>
      <c r="L11" s="215"/>
      <c r="M11" s="215"/>
      <c r="N11" s="215"/>
    </row>
    <row r="12" spans="1:33" s="255" customFormat="1" ht="24.95" customHeight="1" thickBot="1">
      <c r="B12" s="1805"/>
      <c r="C12" s="1813"/>
      <c r="D12" s="276" t="s">
        <v>243</v>
      </c>
      <c r="E12" s="415" t="s">
        <v>256</v>
      </c>
      <c r="F12" s="1808"/>
      <c r="G12" s="1810"/>
      <c r="H12" s="256"/>
      <c r="I12" s="256"/>
      <c r="J12" s="256"/>
      <c r="K12" s="230"/>
      <c r="L12" s="230"/>
      <c r="M12" s="230"/>
    </row>
    <row r="13" spans="1:33" s="255" customFormat="1" ht="24.95" customHeight="1">
      <c r="B13" s="341" t="s">
        <v>413</v>
      </c>
      <c r="C13" s="327"/>
      <c r="D13" s="328"/>
      <c r="E13" s="329"/>
      <c r="F13" s="330"/>
      <c r="G13" s="329"/>
      <c r="H13" s="256"/>
      <c r="I13" s="256"/>
      <c r="J13" s="256"/>
      <c r="K13" s="230"/>
      <c r="L13" s="230"/>
      <c r="M13" s="230"/>
    </row>
    <row r="14" spans="1:33" ht="20.100000000000001" customHeight="1">
      <c r="C14" s="341"/>
      <c r="D14" s="494"/>
      <c r="E14" s="247"/>
      <c r="F14" s="247"/>
      <c r="G14" s="252"/>
      <c r="J14" s="215"/>
      <c r="K14" s="215"/>
      <c r="L14" s="248"/>
      <c r="M14" s="249"/>
      <c r="N14" s="215"/>
      <c r="O14" s="230"/>
      <c r="P14" s="230"/>
      <c r="Q14" s="230"/>
      <c r="R14" s="230"/>
      <c r="S14" s="230"/>
    </row>
  </sheetData>
  <mergeCells count="7">
    <mergeCell ref="C5:D5"/>
    <mergeCell ref="B6:B12"/>
    <mergeCell ref="C6:D6"/>
    <mergeCell ref="F6:F12"/>
    <mergeCell ref="G6:G12"/>
    <mergeCell ref="C7:D7"/>
    <mergeCell ref="C8:C12"/>
  </mergeCells>
  <phoneticPr fontId="4" type="noConversion"/>
  <dataValidations count="3">
    <dataValidation type="list" allowBlank="1" showInputMessage="1" showErrorMessage="1" sqref="E8:E13" xr:uid="{00000000-0002-0000-0B00-000000000000}">
      <formula1>"작성완료"</formula1>
    </dataValidation>
    <dataValidation type="list" allowBlank="1" showInputMessage="1" showErrorMessage="1" sqref="E6" xr:uid="{00000000-0002-0000-0B00-000001000000}">
      <formula1>"준수,미제출"</formula1>
    </dataValidation>
    <dataValidation type="list" allowBlank="1" showInputMessage="1" showErrorMessage="1" sqref="B6" xr:uid="{00000000-0002-0000-0B00-000002000000}">
      <formula1>"절대평가,상대평가"</formula1>
    </dataValidation>
  </dataValidations>
  <pageMargins left="0.7" right="0.7" top="0.75" bottom="0.75" header="0.3" footer="0.3"/>
  <pageSetup paperSize="9" scale="68" orientation="portrait" r:id="rId1"/>
  <colBreaks count="1" manualBreakCount="1">
    <brk id="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66FF"/>
  </sheetPr>
  <dimension ref="B1:AJ52"/>
  <sheetViews>
    <sheetView showGridLines="0" view="pageBreakPreview" zoomScaleNormal="100" zoomScaleSheetLayoutView="100" workbookViewId="0">
      <selection activeCell="M17" sqref="M17"/>
    </sheetView>
  </sheetViews>
  <sheetFormatPr defaultRowHeight="16.5"/>
  <cols>
    <col min="1" max="1" width="1.77734375" style="215" customWidth="1"/>
    <col min="2" max="2" width="11.6640625" style="215" customWidth="1"/>
    <col min="3" max="3" width="8.88671875" style="215" customWidth="1"/>
    <col min="4" max="4" width="18.88671875" style="215" customWidth="1"/>
    <col min="5" max="5" width="15.77734375" style="215" customWidth="1"/>
    <col min="6" max="6" width="10.77734375" style="215" customWidth="1"/>
    <col min="7" max="7" width="9.21875" style="230" customWidth="1"/>
    <col min="8" max="8" width="8.6640625" style="230" customWidth="1"/>
    <col min="9" max="9" width="1.77734375" style="215" customWidth="1"/>
    <col min="10" max="10" width="3.109375" style="215" customWidth="1"/>
    <col min="11" max="16384" width="8.88671875" style="215"/>
  </cols>
  <sheetData>
    <row r="1" spans="2:36">
      <c r="J1" s="248"/>
      <c r="K1" s="249"/>
      <c r="M1" s="230"/>
      <c r="N1" s="230"/>
      <c r="O1" s="230"/>
      <c r="P1" s="230"/>
      <c r="Q1" s="230"/>
      <c r="AB1" s="230"/>
      <c r="AC1" s="230"/>
      <c r="AD1" s="230"/>
      <c r="AE1" s="230"/>
      <c r="AF1" s="230"/>
      <c r="AG1" s="230"/>
      <c r="AH1" s="230"/>
      <c r="AI1" s="230"/>
      <c r="AJ1" s="230"/>
    </row>
    <row r="2" spans="2:36" s="231" customFormat="1" ht="24.75" thickBot="1">
      <c r="B2" s="485" t="s">
        <v>574</v>
      </c>
      <c r="G2" s="232"/>
      <c r="H2" s="232"/>
      <c r="J2" s="250"/>
      <c r="K2" s="251"/>
      <c r="M2" s="232"/>
      <c r="N2" s="232"/>
      <c r="O2" s="232"/>
      <c r="P2" s="232"/>
      <c r="Q2" s="232"/>
      <c r="AB2" s="232"/>
      <c r="AC2" s="232"/>
      <c r="AD2" s="232"/>
      <c r="AE2" s="232"/>
      <c r="AF2" s="232"/>
      <c r="AG2" s="232"/>
      <c r="AH2" s="232"/>
      <c r="AI2" s="232"/>
      <c r="AJ2" s="232"/>
    </row>
    <row r="3" spans="2:36" s="231" customFormat="1" ht="20.25">
      <c r="B3" s="239"/>
      <c r="F3" s="417"/>
      <c r="G3" s="232"/>
      <c r="H3" s="476" t="s">
        <v>149</v>
      </c>
      <c r="J3" s="250"/>
      <c r="K3" s="251"/>
      <c r="M3" s="232"/>
      <c r="N3" s="232"/>
      <c r="O3" s="232"/>
      <c r="P3" s="232"/>
      <c r="Q3" s="232"/>
      <c r="AB3" s="232"/>
      <c r="AC3" s="232"/>
      <c r="AD3" s="232"/>
      <c r="AE3" s="232"/>
      <c r="AF3" s="232"/>
      <c r="AG3" s="232"/>
      <c r="AH3" s="232"/>
      <c r="AI3" s="232"/>
      <c r="AJ3" s="232"/>
    </row>
    <row r="4" spans="2:36" ht="17.25" thickBot="1">
      <c r="G4" s="414"/>
      <c r="H4" s="477">
        <f>작성요령!V19</f>
        <v>45292</v>
      </c>
    </row>
    <row r="5" spans="2:36" ht="19.5">
      <c r="B5" s="495" t="s">
        <v>575</v>
      </c>
      <c r="G5" s="414"/>
      <c r="H5" s="425"/>
    </row>
    <row r="6" spans="2:36">
      <c r="G6" s="414"/>
      <c r="H6" s="425"/>
    </row>
    <row r="7" spans="2:36" s="247" customFormat="1" ht="20.100000000000001" customHeight="1" thickBot="1">
      <c r="B7" s="1829" t="s">
        <v>576</v>
      </c>
      <c r="C7" s="1829"/>
      <c r="G7" s="254"/>
      <c r="H7" s="254"/>
    </row>
    <row r="8" spans="2:36" ht="20.100000000000001" customHeight="1" thickBot="1">
      <c r="B8" s="1851" t="s">
        <v>348</v>
      </c>
      <c r="C8" s="1852"/>
      <c r="D8" s="1854" t="s">
        <v>349</v>
      </c>
      <c r="E8" s="1856" t="s">
        <v>350</v>
      </c>
      <c r="F8" s="1857"/>
      <c r="G8" s="1723" t="s">
        <v>77</v>
      </c>
      <c r="H8" s="1858" t="s">
        <v>78</v>
      </c>
      <c r="J8" s="277"/>
      <c r="K8" s="215" t="s">
        <v>589</v>
      </c>
    </row>
    <row r="9" spans="2:36" ht="20.100000000000001" customHeight="1" thickTop="1" thickBot="1">
      <c r="B9" s="1853"/>
      <c r="C9" s="1794"/>
      <c r="D9" s="1855"/>
      <c r="E9" s="419" t="s">
        <v>351</v>
      </c>
      <c r="F9" s="419" t="s">
        <v>352</v>
      </c>
      <c r="G9" s="1724"/>
      <c r="H9" s="1859"/>
      <c r="J9" s="277"/>
      <c r="L9" s="215" t="s">
        <v>590</v>
      </c>
    </row>
    <row r="10" spans="2:36" ht="20.100000000000001" customHeight="1" thickTop="1" thickBot="1">
      <c r="B10" s="1847"/>
      <c r="C10" s="1848"/>
      <c r="D10" s="316"/>
      <c r="E10" s="416"/>
      <c r="F10" s="418" t="str">
        <f>IF(E10="","",IF((H4-(365/2))&gt;=E10,"적합","기간미달"))</f>
        <v/>
      </c>
      <c r="G10" s="418">
        <f>IF(OR(B10="",D10=""),0,IF(AND(B10=D10,F10="적합"),1.5))</f>
        <v>0</v>
      </c>
      <c r="H10" s="880"/>
      <c r="J10" s="242"/>
      <c r="K10" s="215" t="str">
        <f>"당해용역 : "&amp;작성요령!M16&amp;"세대"</f>
        <v>당해용역 : 900세대</v>
      </c>
    </row>
    <row r="11" spans="2:36" ht="20.100000000000001" customHeight="1">
      <c r="B11" s="1846"/>
      <c r="C11" s="1846"/>
      <c r="D11" s="1846"/>
      <c r="E11" s="1846"/>
      <c r="H11" s="254"/>
    </row>
    <row r="12" spans="2:36" s="247" customFormat="1" ht="20.100000000000001" customHeight="1" thickBot="1">
      <c r="B12" s="1829" t="s">
        <v>577</v>
      </c>
      <c r="C12" s="1829"/>
      <c r="D12" s="1829"/>
      <c r="E12" s="1829"/>
      <c r="G12" s="254"/>
      <c r="H12" s="254"/>
      <c r="J12" s="277"/>
    </row>
    <row r="13" spans="2:36" ht="33.75" thickBot="1">
      <c r="B13" s="1837" t="s">
        <v>354</v>
      </c>
      <c r="C13" s="1838"/>
      <c r="D13" s="420" t="s">
        <v>339</v>
      </c>
      <c r="E13" s="421" t="s">
        <v>355</v>
      </c>
      <c r="F13" s="471" t="s">
        <v>353</v>
      </c>
      <c r="G13" s="423" t="s">
        <v>77</v>
      </c>
      <c r="H13" s="424" t="s">
        <v>78</v>
      </c>
      <c r="J13" s="315"/>
    </row>
    <row r="14" spans="2:36" ht="20.100000000000001" customHeight="1" thickTop="1" thickBot="1">
      <c r="B14" s="1849" t="str">
        <f>작성요령!V17</f>
        <v>AAAA엔지니어링</v>
      </c>
      <c r="C14" s="1850"/>
      <c r="D14" s="511" t="s">
        <v>319</v>
      </c>
      <c r="E14" s="512" t="s">
        <v>701</v>
      </c>
      <c r="F14" s="513">
        <f>IF(LEFT($E$14,3)="기술사",1,IF(LEFT($E$14,3)="기능장",0.8,IF(LEFT($E$14,4)="산업기사",0.5,0.7)))</f>
        <v>1</v>
      </c>
      <c r="G14" s="513">
        <f>SUM(F14:F14)</f>
        <v>1</v>
      </c>
      <c r="H14" s="514"/>
      <c r="J14" s="315"/>
    </row>
    <row r="15" spans="2:36" ht="20.100000000000001" customHeight="1">
      <c r="B15" s="1843"/>
      <c r="C15" s="1843"/>
      <c r="D15" s="1843"/>
      <c r="E15" s="1843"/>
      <c r="H15" s="254"/>
    </row>
    <row r="16" spans="2:36" ht="20.100000000000001" customHeight="1">
      <c r="B16" s="495" t="s">
        <v>356</v>
      </c>
      <c r="C16" s="278"/>
      <c r="D16" s="278"/>
      <c r="E16" s="278"/>
      <c r="H16" s="254"/>
    </row>
    <row r="17" spans="2:10" ht="20.100000000000001" customHeight="1">
      <c r="B17" s="278"/>
      <c r="C17" s="278"/>
      <c r="D17" s="278"/>
      <c r="E17" s="278"/>
      <c r="H17" s="254"/>
    </row>
    <row r="18" spans="2:10" ht="20.100000000000001" customHeight="1" thickBot="1">
      <c r="B18" s="1829" t="s">
        <v>578</v>
      </c>
      <c r="C18" s="1829"/>
      <c r="D18" s="1829"/>
      <c r="E18" s="1829"/>
      <c r="F18" s="247"/>
      <c r="G18" s="254"/>
      <c r="H18" s="254"/>
    </row>
    <row r="19" spans="2:10" ht="36" customHeight="1" thickBot="1">
      <c r="B19" s="1844" t="s">
        <v>255</v>
      </c>
      <c r="C19" s="1845"/>
      <c r="D19" s="428" t="s">
        <v>357</v>
      </c>
      <c r="E19" s="1830" t="s">
        <v>360</v>
      </c>
      <c r="F19" s="1831"/>
      <c r="G19" s="423" t="s">
        <v>77</v>
      </c>
      <c r="H19" s="424" t="s">
        <v>78</v>
      </c>
      <c r="J19" s="277"/>
    </row>
    <row r="20" spans="2:10" ht="17.25" thickTop="1">
      <c r="B20" s="1841" t="s">
        <v>2</v>
      </c>
      <c r="C20" s="1842"/>
      <c r="D20" s="427"/>
      <c r="E20" s="1832"/>
      <c r="F20" s="1833"/>
      <c r="G20" s="1834"/>
      <c r="H20" s="1814"/>
      <c r="J20" s="242"/>
    </row>
    <row r="21" spans="2:10">
      <c r="B21" s="1839"/>
      <c r="C21" s="1820"/>
      <c r="D21" s="426"/>
      <c r="E21" s="1817"/>
      <c r="F21" s="1818"/>
      <c r="G21" s="1835"/>
      <c r="H21" s="1815"/>
      <c r="J21" s="242"/>
    </row>
    <row r="22" spans="2:10">
      <c r="B22" s="1839"/>
      <c r="C22" s="1820"/>
      <c r="D22" s="426"/>
      <c r="E22" s="1819"/>
      <c r="F22" s="1820"/>
      <c r="G22" s="1835"/>
      <c r="H22" s="1815"/>
      <c r="J22" s="242"/>
    </row>
    <row r="23" spans="2:10">
      <c r="B23" s="1839"/>
      <c r="C23" s="1820"/>
      <c r="D23" s="426"/>
      <c r="E23" s="1819"/>
      <c r="F23" s="1820"/>
      <c r="G23" s="1835"/>
      <c r="H23" s="1815"/>
      <c r="J23" s="242"/>
    </row>
    <row r="24" spans="2:10" ht="17.25" thickBot="1">
      <c r="B24" s="1821" t="s">
        <v>74</v>
      </c>
      <c r="C24" s="1822"/>
      <c r="D24" s="1823"/>
      <c r="E24" s="1824"/>
      <c r="F24" s="1825"/>
      <c r="G24" s="1836"/>
      <c r="H24" s="1816"/>
      <c r="J24" s="242"/>
    </row>
    <row r="25" spans="2:10">
      <c r="B25" s="1843"/>
      <c r="C25" s="1843"/>
      <c r="D25" s="1843"/>
      <c r="E25" s="1843"/>
    </row>
    <row r="26" spans="2:10" ht="18" thickBot="1">
      <c r="B26" s="1829" t="s">
        <v>579</v>
      </c>
      <c r="C26" s="1829"/>
      <c r="D26" s="1829"/>
      <c r="E26" s="1829"/>
      <c r="F26" s="247"/>
      <c r="G26" s="254"/>
      <c r="H26" s="254"/>
    </row>
    <row r="27" spans="2:10" ht="33.75" thickBot="1">
      <c r="B27" s="1844" t="s">
        <v>358</v>
      </c>
      <c r="C27" s="1845"/>
      <c r="D27" s="428" t="s">
        <v>359</v>
      </c>
      <c r="E27" s="1830" t="s">
        <v>362</v>
      </c>
      <c r="F27" s="1831"/>
      <c r="G27" s="423" t="s">
        <v>77</v>
      </c>
      <c r="H27" s="424" t="s">
        <v>78</v>
      </c>
    </row>
    <row r="28" spans="2:10" ht="17.25" thickTop="1">
      <c r="B28" s="1841" t="s">
        <v>2</v>
      </c>
      <c r="C28" s="1842"/>
      <c r="D28" s="427"/>
      <c r="E28" s="1832"/>
      <c r="F28" s="1833"/>
      <c r="G28" s="1834"/>
      <c r="H28" s="1814"/>
    </row>
    <row r="29" spans="2:10">
      <c r="B29" s="1839"/>
      <c r="C29" s="1820"/>
      <c r="D29" s="426"/>
      <c r="E29" s="1817"/>
      <c r="F29" s="1818"/>
      <c r="G29" s="1835"/>
      <c r="H29" s="1815"/>
    </row>
    <row r="30" spans="2:10">
      <c r="B30" s="1839"/>
      <c r="C30" s="1820"/>
      <c r="D30" s="426"/>
      <c r="E30" s="1819"/>
      <c r="F30" s="1820"/>
      <c r="G30" s="1835"/>
      <c r="H30" s="1815"/>
    </row>
    <row r="31" spans="2:10">
      <c r="B31" s="1839"/>
      <c r="C31" s="1820"/>
      <c r="D31" s="426"/>
      <c r="E31" s="1819"/>
      <c r="F31" s="1820"/>
      <c r="G31" s="1835"/>
      <c r="H31" s="1815"/>
    </row>
    <row r="32" spans="2:10" ht="17.25" thickBot="1">
      <c r="B32" s="1821" t="s">
        <v>74</v>
      </c>
      <c r="C32" s="1822"/>
      <c r="D32" s="1823"/>
      <c r="E32" s="1824"/>
      <c r="F32" s="1825"/>
      <c r="G32" s="1836"/>
      <c r="H32" s="1816"/>
    </row>
    <row r="33" spans="2:8">
      <c r="B33" s="422"/>
      <c r="C33" s="422"/>
      <c r="D33" s="422"/>
      <c r="E33" s="422"/>
    </row>
    <row r="34" spans="2:8" ht="18" thickBot="1">
      <c r="B34" s="1829" t="s">
        <v>580</v>
      </c>
      <c r="C34" s="1829"/>
      <c r="D34" s="1829"/>
      <c r="E34" s="1829"/>
      <c r="F34" s="247"/>
      <c r="G34" s="254"/>
      <c r="H34" s="254"/>
    </row>
    <row r="35" spans="2:8" ht="33.75" thickBot="1">
      <c r="B35" s="1837" t="s">
        <v>361</v>
      </c>
      <c r="C35" s="1838"/>
      <c r="D35" s="1831"/>
      <c r="E35" s="1830" t="s">
        <v>362</v>
      </c>
      <c r="F35" s="1831"/>
      <c r="G35" s="423" t="s">
        <v>77</v>
      </c>
      <c r="H35" s="424" t="s">
        <v>78</v>
      </c>
    </row>
    <row r="36" spans="2:8" ht="17.25" thickTop="1">
      <c r="B36" s="1826" t="s">
        <v>2</v>
      </c>
      <c r="C36" s="1827"/>
      <c r="D36" s="1828"/>
      <c r="E36" s="1832"/>
      <c r="F36" s="1833"/>
      <c r="G36" s="1834"/>
      <c r="H36" s="1814"/>
    </row>
    <row r="37" spans="2:8">
      <c r="B37" s="1839"/>
      <c r="C37" s="1840"/>
      <c r="D37" s="1820"/>
      <c r="E37" s="1817"/>
      <c r="F37" s="1818"/>
      <c r="G37" s="1835"/>
      <c r="H37" s="1815"/>
    </row>
    <row r="38" spans="2:8">
      <c r="B38" s="1839"/>
      <c r="C38" s="1840"/>
      <c r="D38" s="1820"/>
      <c r="E38" s="1819"/>
      <c r="F38" s="1820"/>
      <c r="G38" s="1835"/>
      <c r="H38" s="1815"/>
    </row>
    <row r="39" spans="2:8">
      <c r="B39" s="1839"/>
      <c r="C39" s="1840"/>
      <c r="D39" s="1820"/>
      <c r="E39" s="1819"/>
      <c r="F39" s="1820"/>
      <c r="G39" s="1835"/>
      <c r="H39" s="1815"/>
    </row>
    <row r="40" spans="2:8" ht="17.25" thickBot="1">
      <c r="B40" s="1821" t="s">
        <v>74</v>
      </c>
      <c r="C40" s="1822"/>
      <c r="D40" s="1823"/>
      <c r="E40" s="1824"/>
      <c r="F40" s="1825"/>
      <c r="G40" s="1836"/>
      <c r="H40" s="1816"/>
    </row>
    <row r="41" spans="2:8">
      <c r="B41" s="422"/>
      <c r="C41" s="422"/>
      <c r="D41" s="422"/>
      <c r="E41" s="422"/>
    </row>
    <row r="42" spans="2:8" ht="18" thickBot="1">
      <c r="B42" s="1829" t="s">
        <v>581</v>
      </c>
      <c r="C42" s="1829"/>
      <c r="D42" s="1829"/>
      <c r="E42" s="1829"/>
      <c r="F42" s="247"/>
      <c r="G42" s="254"/>
      <c r="H42" s="254"/>
    </row>
    <row r="43" spans="2:8" ht="33.75" thickBot="1">
      <c r="B43" s="1837" t="s">
        <v>363</v>
      </c>
      <c r="C43" s="1838"/>
      <c r="D43" s="1831"/>
      <c r="E43" s="1830" t="s">
        <v>364</v>
      </c>
      <c r="F43" s="1831"/>
      <c r="G43" s="423" t="s">
        <v>77</v>
      </c>
      <c r="H43" s="424" t="s">
        <v>78</v>
      </c>
    </row>
    <row r="44" spans="2:8" ht="17.25" thickTop="1">
      <c r="B44" s="1826" t="s">
        <v>2</v>
      </c>
      <c r="C44" s="1827"/>
      <c r="D44" s="1828"/>
      <c r="E44" s="1832"/>
      <c r="F44" s="1833"/>
      <c r="G44" s="1834"/>
      <c r="H44" s="1814"/>
    </row>
    <row r="45" spans="2:8">
      <c r="B45" s="1839"/>
      <c r="C45" s="1840"/>
      <c r="D45" s="1820"/>
      <c r="E45" s="1817"/>
      <c r="F45" s="1818"/>
      <c r="G45" s="1835"/>
      <c r="H45" s="1815"/>
    </row>
    <row r="46" spans="2:8">
      <c r="B46" s="1839"/>
      <c r="C46" s="1840"/>
      <c r="D46" s="1820"/>
      <c r="E46" s="1819"/>
      <c r="F46" s="1820"/>
      <c r="G46" s="1835"/>
      <c r="H46" s="1815"/>
    </row>
    <row r="47" spans="2:8">
      <c r="B47" s="1839"/>
      <c r="C47" s="1840"/>
      <c r="D47" s="1820"/>
      <c r="E47" s="1819"/>
      <c r="F47" s="1820"/>
      <c r="G47" s="1835"/>
      <c r="H47" s="1815"/>
    </row>
    <row r="48" spans="2:8" ht="17.25" thickBot="1">
      <c r="B48" s="1821" t="s">
        <v>74</v>
      </c>
      <c r="C48" s="1822"/>
      <c r="D48" s="1823"/>
      <c r="E48" s="1824"/>
      <c r="F48" s="1825"/>
      <c r="G48" s="1836"/>
      <c r="H48" s="1816"/>
    </row>
    <row r="49" spans="2:7">
      <c r="B49" s="422"/>
      <c r="C49" s="422"/>
      <c r="D49" s="422"/>
      <c r="E49" s="422"/>
    </row>
    <row r="50" spans="2:7">
      <c r="B50" s="242" t="s">
        <v>84</v>
      </c>
      <c r="C50" s="242"/>
      <c r="D50" s="242"/>
      <c r="E50" s="242"/>
      <c r="F50" s="242"/>
      <c r="G50" s="342"/>
    </row>
    <row r="51" spans="2:7">
      <c r="B51" s="242" t="s">
        <v>414</v>
      </c>
    </row>
    <row r="52" spans="2:7">
      <c r="B52" s="242" t="s">
        <v>415</v>
      </c>
    </row>
  </sheetData>
  <customSheetViews>
    <customSheetView guid="{3C925556-11AB-420F-9574-511192FFD696}" scale="115" showPageBreaks="1" printArea="1" view="pageBreakPreview" topLeftCell="A22">
      <selection activeCell="K38" sqref="K38"/>
      <pageMargins left="0.8" right="0.67" top="1" bottom="1" header="0.5" footer="0.5"/>
      <pageSetup paperSize="9" orientation="portrait" r:id="rId1"/>
      <headerFooter alignWithMargins="0"/>
    </customSheetView>
  </customSheetViews>
  <mergeCells count="73">
    <mergeCell ref="B8:C9"/>
    <mergeCell ref="D8:D9"/>
    <mergeCell ref="E8:F8"/>
    <mergeCell ref="G8:G9"/>
    <mergeCell ref="H8:H9"/>
    <mergeCell ref="H20:H24"/>
    <mergeCell ref="B7:C7"/>
    <mergeCell ref="B12:E12"/>
    <mergeCell ref="B11:E11"/>
    <mergeCell ref="B15:E15"/>
    <mergeCell ref="B10:C10"/>
    <mergeCell ref="B13:C13"/>
    <mergeCell ref="E23:F23"/>
    <mergeCell ref="B24:D24"/>
    <mergeCell ref="E24:F24"/>
    <mergeCell ref="B18:E18"/>
    <mergeCell ref="B14:C14"/>
    <mergeCell ref="E19:F19"/>
    <mergeCell ref="E21:F21"/>
    <mergeCell ref="E22:F22"/>
    <mergeCell ref="B19:C19"/>
    <mergeCell ref="B25:E25"/>
    <mergeCell ref="B30:C30"/>
    <mergeCell ref="B31:C31"/>
    <mergeCell ref="E20:F20"/>
    <mergeCell ref="G20:G24"/>
    <mergeCell ref="B21:C21"/>
    <mergeCell ref="B22:C22"/>
    <mergeCell ref="B23:C23"/>
    <mergeCell ref="B26:E26"/>
    <mergeCell ref="B27:C27"/>
    <mergeCell ref="B20:C20"/>
    <mergeCell ref="H28:H32"/>
    <mergeCell ref="B29:C29"/>
    <mergeCell ref="E27:F27"/>
    <mergeCell ref="E28:F28"/>
    <mergeCell ref="E29:F29"/>
    <mergeCell ref="E30:F30"/>
    <mergeCell ref="B28:C28"/>
    <mergeCell ref="G28:G32"/>
    <mergeCell ref="E32:F32"/>
    <mergeCell ref="B32:D32"/>
    <mergeCell ref="E31:F31"/>
    <mergeCell ref="B34:E34"/>
    <mergeCell ref="E35:F35"/>
    <mergeCell ref="E36:F36"/>
    <mergeCell ref="G36:G40"/>
    <mergeCell ref="B35:D35"/>
    <mergeCell ref="B37:D37"/>
    <mergeCell ref="B38:D38"/>
    <mergeCell ref="B39:D39"/>
    <mergeCell ref="H36:H40"/>
    <mergeCell ref="E37:F37"/>
    <mergeCell ref="E38:F38"/>
    <mergeCell ref="E39:F39"/>
    <mergeCell ref="B40:D40"/>
    <mergeCell ref="E40:F40"/>
    <mergeCell ref="B36:D36"/>
    <mergeCell ref="B42:E42"/>
    <mergeCell ref="E43:F43"/>
    <mergeCell ref="E44:F44"/>
    <mergeCell ref="G44:G48"/>
    <mergeCell ref="B43:D43"/>
    <mergeCell ref="B45:D45"/>
    <mergeCell ref="B46:D46"/>
    <mergeCell ref="B47:D47"/>
    <mergeCell ref="H44:H48"/>
    <mergeCell ref="E45:F45"/>
    <mergeCell ref="E46:F46"/>
    <mergeCell ref="E47:F47"/>
    <mergeCell ref="B48:D48"/>
    <mergeCell ref="E48:F48"/>
    <mergeCell ref="B44:D44"/>
  </mergeCells>
  <phoneticPr fontId="4" type="noConversion"/>
  <conditionalFormatting sqref="F10">
    <cfRule type="containsText" dxfId="0" priority="1" stopIfTrue="1" operator="containsText" text="기간미달">
      <formula>NOT(ISERROR(SEARCH("기간미달",F10)))</formula>
    </cfRule>
  </conditionalFormatting>
  <dataValidations count="1">
    <dataValidation type="list" allowBlank="1" showInputMessage="1" showErrorMessage="1" sqref="E14" xr:uid="{00000000-0002-0000-0C00-000000000000}">
      <formula1>"기술사(발송배전),기술사(전기응용),기술사(철도신호),기술사(전기철도),기술사(건축전기설비),기술사(전기안전),기능장(전기),기사(전기),기사(전기공사),기사(철도신호),기사(전기철도),산업기사(전기),산업기사(전기공사),산업기사(철도신호),산업기사(전기철도)"</formula1>
    </dataValidation>
  </dataValidations>
  <pageMargins left="0.8" right="0.67" top="1" bottom="1" header="0.5" footer="0.5"/>
  <pageSetup paperSize="9" scale="86" orientation="portrait" r:id="rId2"/>
  <headerFooter alignWithMargins="0"/>
  <rowBreaks count="1" manualBreakCount="1">
    <brk id="33" max="8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5"/>
  <sheetViews>
    <sheetView showGridLines="0" view="pageBreakPreview" zoomScaleNormal="100" zoomScaleSheetLayoutView="100" workbookViewId="0">
      <selection activeCell="A20" sqref="A20:C20"/>
    </sheetView>
  </sheetViews>
  <sheetFormatPr defaultRowHeight="16.5"/>
  <cols>
    <col min="1" max="1" width="18.44140625" style="49" customWidth="1"/>
    <col min="2" max="2" width="15.6640625" style="39" customWidth="1"/>
    <col min="3" max="3" width="42" style="39" customWidth="1"/>
    <col min="4" max="4" width="8.88671875" style="40"/>
    <col min="5" max="16384" width="8.88671875" style="39"/>
  </cols>
  <sheetData>
    <row r="1" spans="1:8" ht="17.25">
      <c r="A1" s="48" t="s">
        <v>147</v>
      </c>
    </row>
    <row r="2" spans="1:8" ht="15" customHeight="1"/>
    <row r="3" spans="1:8" ht="26.25">
      <c r="A3" s="1873" t="s">
        <v>22</v>
      </c>
      <c r="B3" s="1873"/>
      <c r="C3" s="1873"/>
      <c r="D3" s="1873"/>
    </row>
    <row r="4" spans="1:8" ht="15" customHeight="1"/>
    <row r="5" spans="1:8" ht="24.95" customHeight="1" thickBot="1">
      <c r="A5" s="41" t="s">
        <v>171</v>
      </c>
    </row>
    <row r="6" spans="1:8" ht="28.5" customHeight="1" thickBot="1">
      <c r="A6" s="1878" t="s">
        <v>85</v>
      </c>
      <c r="B6" s="1879"/>
      <c r="C6" s="50" t="s">
        <v>86</v>
      </c>
      <c r="D6" s="51" t="s">
        <v>91</v>
      </c>
    </row>
    <row r="7" spans="1:8" ht="20.100000000000001" customHeight="1" thickTop="1">
      <c r="A7" s="1863" t="s">
        <v>87</v>
      </c>
      <c r="B7" s="1882" t="s">
        <v>131</v>
      </c>
      <c r="C7" s="42" t="s">
        <v>132</v>
      </c>
      <c r="D7" s="1876">
        <v>2.1808999999999998</v>
      </c>
    </row>
    <row r="8" spans="1:8" ht="20.100000000000001" customHeight="1">
      <c r="A8" s="1864"/>
      <c r="B8" s="1870"/>
      <c r="C8" s="43" t="s">
        <v>133</v>
      </c>
      <c r="D8" s="1872"/>
      <c r="H8" s="52"/>
    </row>
    <row r="9" spans="1:8" ht="20.100000000000001" customHeight="1">
      <c r="A9" s="1864"/>
      <c r="B9" s="1869" t="s">
        <v>88</v>
      </c>
      <c r="C9" s="1874" t="s">
        <v>89</v>
      </c>
      <c r="D9" s="1871"/>
    </row>
    <row r="10" spans="1:8" ht="20.100000000000001" customHeight="1">
      <c r="A10" s="1865"/>
      <c r="B10" s="1870"/>
      <c r="C10" s="1875"/>
      <c r="D10" s="1872"/>
    </row>
    <row r="11" spans="1:8" ht="20.100000000000001" customHeight="1">
      <c r="A11" s="1868" t="s">
        <v>90</v>
      </c>
      <c r="B11" s="1869" t="s">
        <v>130</v>
      </c>
      <c r="C11" s="44" t="s">
        <v>134</v>
      </c>
      <c r="D11" s="1871">
        <v>41.75</v>
      </c>
    </row>
    <row r="12" spans="1:8" ht="20.100000000000001" customHeight="1">
      <c r="A12" s="1864"/>
      <c r="B12" s="1870"/>
      <c r="C12" s="43" t="s">
        <v>135</v>
      </c>
      <c r="D12" s="1872"/>
    </row>
    <row r="13" spans="1:8" ht="20.100000000000001" customHeight="1">
      <c r="A13" s="1864"/>
      <c r="B13" s="1869" t="s">
        <v>88</v>
      </c>
      <c r="C13" s="1874" t="s">
        <v>89</v>
      </c>
      <c r="D13" s="1871"/>
    </row>
    <row r="14" spans="1:8" ht="20.100000000000001" customHeight="1">
      <c r="A14" s="1865"/>
      <c r="B14" s="1870"/>
      <c r="C14" s="1875"/>
      <c r="D14" s="1872"/>
    </row>
    <row r="15" spans="1:8" ht="20.100000000000001" customHeight="1">
      <c r="A15" s="1868" t="s">
        <v>31</v>
      </c>
      <c r="B15" s="45" t="s">
        <v>44</v>
      </c>
      <c r="C15" s="1866" t="s">
        <v>136</v>
      </c>
      <c r="D15" s="1860">
        <f>SUM(D7:D10)</f>
        <v>2.1808999999999998</v>
      </c>
    </row>
    <row r="16" spans="1:8" ht="20.100000000000001" customHeight="1">
      <c r="A16" s="1864"/>
      <c r="B16" s="46" t="s">
        <v>12</v>
      </c>
      <c r="C16" s="1883"/>
      <c r="D16" s="1861"/>
    </row>
    <row r="17" spans="1:4" ht="20.100000000000001" customHeight="1">
      <c r="A17" s="1864"/>
      <c r="B17" s="45" t="s">
        <v>172</v>
      </c>
      <c r="C17" s="1866" t="s">
        <v>137</v>
      </c>
      <c r="D17" s="1860">
        <f>SUM(D11:D14)</f>
        <v>41.75</v>
      </c>
    </row>
    <row r="18" spans="1:4" ht="20.100000000000001" customHeight="1" thickBot="1">
      <c r="A18" s="1880"/>
      <c r="B18" s="47" t="s">
        <v>12</v>
      </c>
      <c r="C18" s="1867"/>
      <c r="D18" s="1862"/>
    </row>
    <row r="19" spans="1:4" ht="56.25" customHeight="1">
      <c r="A19" s="1877" t="s">
        <v>173</v>
      </c>
      <c r="B19" s="1877"/>
      <c r="C19" s="1877"/>
    </row>
    <row r="20" spans="1:4" ht="20.100000000000001" customHeight="1">
      <c r="A20" s="1881" t="s">
        <v>260</v>
      </c>
      <c r="B20" s="1881"/>
      <c r="C20" s="1881"/>
    </row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/>
    <row r="25" spans="1:4" ht="20.100000000000001" customHeight="1"/>
  </sheetData>
  <customSheetViews>
    <customSheetView guid="{3C925556-11AB-420F-9574-511192FFD696}" showPageBreaks="1" showGridLines="0" printArea="1" view="pageBreakPreview">
      <selection activeCell="G17" sqref="G17"/>
      <pageMargins left="0.68" right="0.25" top="1" bottom="1" header="0.5" footer="0.5"/>
      <pageSetup paperSize="9" scale="90" orientation="portrait" r:id="rId1"/>
      <headerFooter alignWithMargins="0"/>
    </customSheetView>
  </customSheetViews>
  <mergeCells count="21">
    <mergeCell ref="A19:C19"/>
    <mergeCell ref="A6:B6"/>
    <mergeCell ref="A15:A18"/>
    <mergeCell ref="A20:C20"/>
    <mergeCell ref="B7:B8"/>
    <mergeCell ref="C15:C16"/>
    <mergeCell ref="A3:D3"/>
    <mergeCell ref="B13:B14"/>
    <mergeCell ref="B9:B10"/>
    <mergeCell ref="C9:C10"/>
    <mergeCell ref="C13:C14"/>
    <mergeCell ref="D13:D14"/>
    <mergeCell ref="D7:D8"/>
    <mergeCell ref="D11:D12"/>
    <mergeCell ref="D15:D16"/>
    <mergeCell ref="D17:D18"/>
    <mergeCell ref="A7:A10"/>
    <mergeCell ref="C17:C18"/>
    <mergeCell ref="A11:A14"/>
    <mergeCell ref="B11:B12"/>
    <mergeCell ref="D9:D10"/>
  </mergeCells>
  <phoneticPr fontId="4" type="noConversion"/>
  <pageMargins left="0.68" right="0.25" top="1" bottom="1" header="0.5" footer="0.5"/>
  <pageSetup paperSize="9" scale="90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8"/>
  <sheetViews>
    <sheetView showGridLines="0" view="pageBreakPreview" zoomScaleNormal="100" zoomScaleSheetLayoutView="100" workbookViewId="0"/>
  </sheetViews>
  <sheetFormatPr defaultRowHeight="16.5"/>
  <cols>
    <col min="1" max="1" width="3.77734375" style="719" customWidth="1"/>
    <col min="2" max="2" width="17.77734375" style="719" customWidth="1"/>
    <col min="3" max="3" width="3.77734375" style="719" customWidth="1"/>
    <col min="4" max="4" width="17.77734375" style="719" customWidth="1"/>
    <col min="5" max="5" width="3.77734375" style="719" customWidth="1"/>
    <col min="6" max="6" width="17.77734375" style="719" customWidth="1"/>
    <col min="7" max="7" width="3.77734375" style="719" customWidth="1"/>
    <col min="8" max="8" width="17.77734375" style="719" customWidth="1"/>
    <col min="9" max="9" width="3.77734375" style="719" customWidth="1"/>
    <col min="10" max="10" width="17.77734375" style="719" customWidth="1"/>
    <col min="11" max="16384" width="8.88671875" style="719"/>
  </cols>
  <sheetData>
    <row r="1" spans="1:10" ht="10.5" customHeight="1"/>
    <row r="2" spans="1:10" s="721" customFormat="1" ht="36.75" customHeight="1">
      <c r="A2" s="720" t="s">
        <v>583</v>
      </c>
    </row>
    <row r="3" spans="1:10" ht="17.25" customHeight="1" thickBot="1">
      <c r="A3" s="722" t="s">
        <v>527</v>
      </c>
    </row>
    <row r="4" spans="1:10" ht="30" customHeight="1">
      <c r="A4" s="1886" t="s">
        <v>528</v>
      </c>
      <c r="B4" s="723" t="s">
        <v>529</v>
      </c>
      <c r="C4" s="1889" t="s">
        <v>530</v>
      </c>
      <c r="D4" s="739" t="s">
        <v>531</v>
      </c>
      <c r="E4" s="1889" t="s">
        <v>532</v>
      </c>
      <c r="F4" s="737" t="s">
        <v>533</v>
      </c>
      <c r="G4" s="1889" t="s">
        <v>534</v>
      </c>
      <c r="H4" s="724" t="s">
        <v>535</v>
      </c>
      <c r="I4" s="1889" t="s">
        <v>536</v>
      </c>
      <c r="J4" s="1892" t="s">
        <v>537</v>
      </c>
    </row>
    <row r="5" spans="1:10" ht="30" customHeight="1">
      <c r="A5" s="1887"/>
      <c r="B5" s="725" t="s">
        <v>538</v>
      </c>
      <c r="C5" s="1890"/>
      <c r="D5" s="740" t="s">
        <v>539</v>
      </c>
      <c r="E5" s="1890"/>
      <c r="F5" s="738" t="s">
        <v>540</v>
      </c>
      <c r="G5" s="1890"/>
      <c r="H5" s="736" t="s">
        <v>541</v>
      </c>
      <c r="I5" s="1890"/>
      <c r="J5" s="1893"/>
    </row>
    <row r="6" spans="1:10" ht="30" customHeight="1">
      <c r="A6" s="1887"/>
      <c r="B6" s="725" t="s">
        <v>542</v>
      </c>
      <c r="C6" s="1890"/>
      <c r="D6" s="741" t="s">
        <v>543</v>
      </c>
      <c r="E6" s="1890"/>
      <c r="F6" s="738" t="s">
        <v>544</v>
      </c>
      <c r="G6" s="1890"/>
      <c r="H6" s="736" t="s">
        <v>545</v>
      </c>
      <c r="I6" s="1890"/>
      <c r="J6" s="1893"/>
    </row>
    <row r="7" spans="1:10" ht="30" customHeight="1">
      <c r="A7" s="1887"/>
      <c r="B7" s="725" t="s">
        <v>546</v>
      </c>
      <c r="C7" s="1890"/>
      <c r="D7" s="741" t="s">
        <v>547</v>
      </c>
      <c r="E7" s="1890"/>
      <c r="F7" s="726" t="s">
        <v>548</v>
      </c>
      <c r="G7" s="1890"/>
      <c r="H7" s="736" t="s">
        <v>549</v>
      </c>
      <c r="I7" s="1890"/>
      <c r="J7" s="1893"/>
    </row>
    <row r="8" spans="1:10" ht="30" customHeight="1">
      <c r="A8" s="1887"/>
      <c r="B8" s="725" t="s">
        <v>550</v>
      </c>
      <c r="C8" s="1890"/>
      <c r="D8" s="741" t="s">
        <v>551</v>
      </c>
      <c r="E8" s="1890"/>
      <c r="F8" s="726" t="s">
        <v>552</v>
      </c>
      <c r="G8" s="1890"/>
      <c r="H8" s="736" t="s">
        <v>553</v>
      </c>
      <c r="I8" s="1890"/>
      <c r="J8" s="1893"/>
    </row>
    <row r="9" spans="1:10" ht="30" customHeight="1">
      <c r="A9" s="1887"/>
      <c r="B9" s="725" t="s">
        <v>554</v>
      </c>
      <c r="C9" s="1890"/>
      <c r="D9" s="741" t="s">
        <v>555</v>
      </c>
      <c r="E9" s="1890"/>
      <c r="F9" s="726" t="s">
        <v>556</v>
      </c>
      <c r="G9" s="1890"/>
      <c r="H9" s="736" t="s">
        <v>557</v>
      </c>
      <c r="I9" s="1890"/>
      <c r="J9" s="1893"/>
    </row>
    <row r="10" spans="1:10" ht="30" customHeight="1">
      <c r="A10" s="1887"/>
      <c r="B10" s="725" t="s">
        <v>558</v>
      </c>
      <c r="C10" s="1890"/>
      <c r="D10" s="741" t="s">
        <v>559</v>
      </c>
      <c r="E10" s="1890"/>
      <c r="F10" s="726" t="s">
        <v>560</v>
      </c>
      <c r="G10" s="1890"/>
      <c r="H10" s="727" t="s">
        <v>561</v>
      </c>
      <c r="I10" s="1890"/>
      <c r="J10" s="1893"/>
    </row>
    <row r="11" spans="1:10" ht="30" customHeight="1">
      <c r="A11" s="1887"/>
      <c r="B11" s="725" t="s">
        <v>562</v>
      </c>
      <c r="C11" s="1890"/>
      <c r="D11" s="741" t="s">
        <v>563</v>
      </c>
      <c r="E11" s="1890"/>
      <c r="F11" s="726" t="s">
        <v>564</v>
      </c>
      <c r="G11" s="1890"/>
      <c r="H11" s="727"/>
      <c r="I11" s="1890"/>
      <c r="J11" s="1893"/>
    </row>
    <row r="12" spans="1:10" ht="30" customHeight="1">
      <c r="A12" s="1887"/>
      <c r="B12" s="725" t="s">
        <v>565</v>
      </c>
      <c r="C12" s="1890"/>
      <c r="D12" s="741" t="s">
        <v>566</v>
      </c>
      <c r="E12" s="1890"/>
      <c r="F12" s="726" t="s">
        <v>567</v>
      </c>
      <c r="G12" s="1890"/>
      <c r="H12" s="728"/>
      <c r="I12" s="1890"/>
      <c r="J12" s="1893"/>
    </row>
    <row r="13" spans="1:10" ht="30" customHeight="1" thickBot="1">
      <c r="A13" s="1888"/>
      <c r="B13" s="729" t="s">
        <v>568</v>
      </c>
      <c r="C13" s="1891"/>
      <c r="D13" s="742" t="s">
        <v>569</v>
      </c>
      <c r="E13" s="1891"/>
      <c r="F13" s="730"/>
      <c r="G13" s="1891"/>
      <c r="H13" s="731"/>
      <c r="I13" s="1891"/>
      <c r="J13" s="1894"/>
    </row>
    <row r="14" spans="1:10" ht="17.25">
      <c r="A14" s="732"/>
      <c r="B14" s="732"/>
      <c r="C14" s="732"/>
      <c r="D14" s="732"/>
      <c r="E14" s="732"/>
      <c r="F14" s="732"/>
      <c r="G14" s="732"/>
      <c r="H14" s="732"/>
      <c r="I14" s="732"/>
      <c r="J14" s="732"/>
    </row>
    <row r="15" spans="1:10" s="734" customFormat="1" ht="38.25" customHeight="1">
      <c r="B15" s="872" t="s">
        <v>665</v>
      </c>
      <c r="C15" s="872"/>
      <c r="D15" s="872"/>
      <c r="E15" s="872"/>
      <c r="F15" s="872" t="s">
        <v>664</v>
      </c>
      <c r="G15" s="872"/>
      <c r="H15" s="872"/>
      <c r="I15" s="872"/>
      <c r="J15" s="872"/>
    </row>
    <row r="16" spans="1:10" s="734" customFormat="1" ht="20.25" customHeight="1">
      <c r="A16" s="733"/>
      <c r="B16" s="743"/>
      <c r="C16" s="873" t="s">
        <v>666</v>
      </c>
      <c r="D16" s="873"/>
      <c r="E16" s="873"/>
      <c r="F16" s="743"/>
      <c r="G16" s="873" t="s">
        <v>666</v>
      </c>
      <c r="H16" s="873"/>
      <c r="I16" s="873"/>
      <c r="J16" s="873"/>
    </row>
    <row r="17" spans="1:10" s="734" customFormat="1" ht="20.25" customHeight="1">
      <c r="A17" s="733"/>
      <c r="B17" s="851"/>
      <c r="C17" s="851"/>
      <c r="D17" s="873"/>
      <c r="E17" s="873"/>
      <c r="F17" s="744"/>
      <c r="G17" s="873" t="s">
        <v>667</v>
      </c>
      <c r="H17" s="873"/>
      <c r="I17" s="873"/>
      <c r="J17" s="873"/>
    </row>
    <row r="18" spans="1:10" s="735" customFormat="1" ht="26.25">
      <c r="A18" s="1884"/>
      <c r="B18" s="1885"/>
      <c r="C18" s="1885"/>
      <c r="D18" s="1885"/>
      <c r="E18" s="1885"/>
      <c r="F18" s="1885"/>
      <c r="G18" s="1885"/>
      <c r="H18" s="1885"/>
      <c r="I18" s="1885"/>
      <c r="J18" s="1885"/>
    </row>
  </sheetData>
  <mergeCells count="7">
    <mergeCell ref="A18:J18"/>
    <mergeCell ref="A4:A13"/>
    <mergeCell ref="C4:C13"/>
    <mergeCell ref="E4:E13"/>
    <mergeCell ref="G4:G13"/>
    <mergeCell ref="I4:I13"/>
    <mergeCell ref="J4:J13"/>
  </mergeCells>
  <phoneticPr fontId="4" type="noConversion"/>
  <pageMargins left="0.7" right="0.34" top="1" bottom="1" header="0.5" footer="0.5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3"/>
  <sheetViews>
    <sheetView showGridLines="0" view="pageBreakPreview" zoomScaleNormal="100" workbookViewId="0"/>
  </sheetViews>
  <sheetFormatPr defaultRowHeight="16.5"/>
  <cols>
    <col min="1" max="1" width="8.77734375" style="33" customWidth="1"/>
    <col min="2" max="2" width="3.44140625" style="33" customWidth="1"/>
    <col min="3" max="3" width="8.77734375" style="33" customWidth="1"/>
    <col min="4" max="4" width="4.77734375" style="33" customWidth="1"/>
    <col min="5" max="5" width="12.44140625" style="33" customWidth="1"/>
    <col min="6" max="6" width="8.77734375" style="33" customWidth="1"/>
    <col min="7" max="7" width="4.77734375" style="33" customWidth="1"/>
    <col min="8" max="8" width="13.109375" style="33" customWidth="1"/>
    <col min="9" max="9" width="8.77734375" style="33" customWidth="1"/>
    <col min="10" max="10" width="4.77734375" style="33" customWidth="1"/>
    <col min="11" max="16384" width="8.88671875" style="33"/>
  </cols>
  <sheetData>
    <row r="1" spans="1:10" ht="17.25">
      <c r="A1" s="615" t="s">
        <v>584</v>
      </c>
    </row>
    <row r="2" spans="1:10" ht="12" customHeight="1" thickBot="1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38.25" customHeight="1">
      <c r="A3" s="1900" t="s">
        <v>35</v>
      </c>
      <c r="B3" s="1901"/>
      <c r="C3" s="1901"/>
      <c r="D3" s="1901"/>
      <c r="E3" s="1901"/>
      <c r="F3" s="1901"/>
      <c r="G3" s="1901"/>
      <c r="H3" s="1901"/>
      <c r="I3" s="1901"/>
      <c r="J3" s="1902"/>
    </row>
    <row r="4" spans="1:10" ht="20.100000000000001" customHeight="1">
      <c r="A4" s="1903" t="s">
        <v>36</v>
      </c>
      <c r="B4" s="1904"/>
      <c r="C4" s="1904"/>
      <c r="D4" s="1904"/>
      <c r="E4" s="1904"/>
      <c r="F4" s="1904"/>
      <c r="G4" s="1904"/>
      <c r="H4" s="1904"/>
      <c r="I4" s="1904"/>
      <c r="J4" s="1905"/>
    </row>
    <row r="5" spans="1:10" ht="20.100000000000001" customHeight="1">
      <c r="A5" s="35" t="s">
        <v>37</v>
      </c>
      <c r="B5" s="1895"/>
      <c r="C5" s="1906"/>
      <c r="D5" s="1907"/>
      <c r="E5" s="36" t="s">
        <v>170</v>
      </c>
      <c r="F5" s="1895"/>
      <c r="G5" s="1897"/>
      <c r="H5" s="36" t="s">
        <v>38</v>
      </c>
      <c r="I5" s="1908"/>
      <c r="J5" s="1909"/>
    </row>
    <row r="6" spans="1:10" ht="20.100000000000001" customHeight="1">
      <c r="A6" s="35" t="s">
        <v>39</v>
      </c>
      <c r="B6" s="1895"/>
      <c r="C6" s="1896"/>
      <c r="D6" s="1896"/>
      <c r="E6" s="1896"/>
      <c r="F6" s="1896"/>
      <c r="G6" s="1897"/>
      <c r="H6" s="37" t="s">
        <v>160</v>
      </c>
      <c r="I6" s="1898"/>
      <c r="J6" s="1899"/>
    </row>
    <row r="7" spans="1:10" ht="20.100000000000001" customHeight="1">
      <c r="A7" s="1903" t="s">
        <v>40</v>
      </c>
      <c r="B7" s="1904"/>
      <c r="C7" s="1904"/>
      <c r="D7" s="1904"/>
      <c r="E7" s="1904"/>
      <c r="F7" s="1904"/>
      <c r="G7" s="1904"/>
      <c r="H7" s="1904"/>
      <c r="I7" s="1904"/>
      <c r="J7" s="1905"/>
    </row>
    <row r="8" spans="1:10" ht="24.95" customHeight="1">
      <c r="A8" s="1910" t="s">
        <v>41</v>
      </c>
      <c r="B8" s="1911"/>
      <c r="C8" s="1912" t="s">
        <v>42</v>
      </c>
      <c r="D8" s="1911"/>
      <c r="E8" s="1913" t="s">
        <v>43</v>
      </c>
      <c r="F8" s="1914"/>
      <c r="G8" s="1914"/>
      <c r="H8" s="1914"/>
      <c r="I8" s="1914"/>
      <c r="J8" s="1915"/>
    </row>
    <row r="9" spans="1:10" ht="20.100000000000001" customHeight="1">
      <c r="A9" s="1916" t="s">
        <v>161</v>
      </c>
      <c r="B9" s="1917"/>
      <c r="C9" s="1913" t="s">
        <v>45</v>
      </c>
      <c r="D9" s="1914"/>
      <c r="E9" s="1918" t="s">
        <v>46</v>
      </c>
      <c r="F9" s="1918"/>
      <c r="G9" s="1918"/>
      <c r="H9" s="1918" t="s">
        <v>47</v>
      </c>
      <c r="I9" s="1918"/>
      <c r="J9" s="1919"/>
    </row>
    <row r="10" spans="1:10" ht="20.100000000000001" customHeight="1">
      <c r="A10" s="1920" t="s">
        <v>48</v>
      </c>
      <c r="B10" s="1921"/>
      <c r="C10" s="1922" t="s">
        <v>49</v>
      </c>
      <c r="D10" s="1923"/>
      <c r="E10" s="1918"/>
      <c r="F10" s="1918"/>
      <c r="G10" s="1918"/>
      <c r="H10" s="1918"/>
      <c r="I10" s="1918"/>
      <c r="J10" s="1919"/>
    </row>
    <row r="11" spans="1:10" ht="20.100000000000001" customHeight="1">
      <c r="A11" s="1916" t="s">
        <v>24</v>
      </c>
      <c r="B11" s="1917"/>
      <c r="C11" s="1913" t="s">
        <v>45</v>
      </c>
      <c r="D11" s="1914"/>
      <c r="E11" s="1918" t="s">
        <v>50</v>
      </c>
      <c r="F11" s="1918"/>
      <c r="G11" s="1918"/>
      <c r="H11" s="1918" t="s">
        <v>51</v>
      </c>
      <c r="I11" s="1918"/>
      <c r="J11" s="1919"/>
    </row>
    <row r="12" spans="1:10" ht="20.100000000000001" customHeight="1">
      <c r="A12" s="1920" t="s">
        <v>48</v>
      </c>
      <c r="B12" s="1921"/>
      <c r="C12" s="1922" t="s">
        <v>49</v>
      </c>
      <c r="D12" s="1923"/>
      <c r="E12" s="1918"/>
      <c r="F12" s="1918"/>
      <c r="G12" s="1918"/>
      <c r="H12" s="1918"/>
      <c r="I12" s="1918"/>
      <c r="J12" s="1919"/>
    </row>
    <row r="13" spans="1:10" ht="20.100000000000001" customHeight="1">
      <c r="A13" s="1916" t="s">
        <v>162</v>
      </c>
      <c r="B13" s="1924"/>
      <c r="C13" s="1913"/>
      <c r="D13" s="1914"/>
      <c r="E13" s="1918" t="s">
        <v>52</v>
      </c>
      <c r="F13" s="1918"/>
      <c r="G13" s="1918"/>
      <c r="H13" s="1918" t="s">
        <v>53</v>
      </c>
      <c r="I13" s="1918"/>
      <c r="J13" s="1919"/>
    </row>
    <row r="14" spans="1:10" ht="20.100000000000001" customHeight="1">
      <c r="A14" s="1920"/>
      <c r="B14" s="1925"/>
      <c r="C14" s="1926"/>
      <c r="D14" s="1923"/>
      <c r="E14" s="1918"/>
      <c r="F14" s="1918"/>
      <c r="G14" s="1918"/>
      <c r="H14" s="1918"/>
      <c r="I14" s="1918"/>
      <c r="J14" s="1919"/>
    </row>
    <row r="15" spans="1:10" ht="20.100000000000001" customHeight="1">
      <c r="A15" s="1916" t="s">
        <v>54</v>
      </c>
      <c r="B15" s="1917"/>
      <c r="C15" s="1913"/>
      <c r="D15" s="1914"/>
      <c r="E15" s="1918" t="s">
        <v>53</v>
      </c>
      <c r="F15" s="1918"/>
      <c r="G15" s="1918"/>
      <c r="H15" s="1918" t="s">
        <v>55</v>
      </c>
      <c r="I15" s="1918"/>
      <c r="J15" s="1919"/>
    </row>
    <row r="16" spans="1:10" ht="20.100000000000001" customHeight="1">
      <c r="A16" s="1927"/>
      <c r="B16" s="1921"/>
      <c r="C16" s="1926"/>
      <c r="D16" s="1923"/>
      <c r="E16" s="1918"/>
      <c r="F16" s="1918"/>
      <c r="G16" s="1918"/>
      <c r="H16" s="1918"/>
      <c r="I16" s="1918"/>
      <c r="J16" s="1919"/>
    </row>
    <row r="17" spans="1:10" ht="20.100000000000001" customHeight="1">
      <c r="A17" s="1916" t="s">
        <v>163</v>
      </c>
      <c r="B17" s="1924"/>
      <c r="C17" s="1913" t="s">
        <v>164</v>
      </c>
      <c r="D17" s="1933"/>
      <c r="E17" s="1937" t="s">
        <v>521</v>
      </c>
      <c r="F17" s="1918"/>
      <c r="G17" s="1918"/>
      <c r="H17" s="1937" t="s">
        <v>522</v>
      </c>
      <c r="I17" s="1918"/>
      <c r="J17" s="1919"/>
    </row>
    <row r="18" spans="1:10" ht="20.100000000000001" customHeight="1">
      <c r="A18" s="1931"/>
      <c r="B18" s="1932"/>
      <c r="C18" s="1934"/>
      <c r="D18" s="1935"/>
      <c r="E18" s="1918" t="s">
        <v>56</v>
      </c>
      <c r="F18" s="1918"/>
      <c r="G18" s="1918"/>
      <c r="H18" s="1918" t="s">
        <v>57</v>
      </c>
      <c r="I18" s="1918"/>
      <c r="J18" s="1919"/>
    </row>
    <row r="19" spans="1:10" ht="20.100000000000001" customHeight="1">
      <c r="A19" s="1931"/>
      <c r="B19" s="1932"/>
      <c r="C19" s="1934"/>
      <c r="D19" s="1935"/>
      <c r="E19" s="38" t="s">
        <v>58</v>
      </c>
      <c r="F19" s="1918" t="s">
        <v>59</v>
      </c>
      <c r="G19" s="1918"/>
      <c r="H19" s="38" t="s">
        <v>58</v>
      </c>
      <c r="I19" s="1918" t="s">
        <v>53</v>
      </c>
      <c r="J19" s="1919"/>
    </row>
    <row r="20" spans="1:10" ht="20.100000000000001" customHeight="1">
      <c r="A20" s="1931"/>
      <c r="B20" s="1932"/>
      <c r="C20" s="1934"/>
      <c r="D20" s="1935"/>
      <c r="E20" s="38" t="s">
        <v>60</v>
      </c>
      <c r="F20" s="1918" t="s">
        <v>59</v>
      </c>
      <c r="G20" s="1918"/>
      <c r="H20" s="38" t="s">
        <v>60</v>
      </c>
      <c r="I20" s="1918" t="s">
        <v>53</v>
      </c>
      <c r="J20" s="1919"/>
    </row>
    <row r="21" spans="1:10" ht="20.100000000000001" customHeight="1">
      <c r="A21" s="1920"/>
      <c r="B21" s="1925"/>
      <c r="C21" s="1922"/>
      <c r="D21" s="1936"/>
      <c r="E21" s="38" t="s">
        <v>61</v>
      </c>
      <c r="F21" s="1918" t="s">
        <v>59</v>
      </c>
      <c r="G21" s="1918"/>
      <c r="H21" s="38" t="s">
        <v>61</v>
      </c>
      <c r="I21" s="1918" t="s">
        <v>53</v>
      </c>
      <c r="J21" s="1919"/>
    </row>
    <row r="22" spans="1:10" ht="20.100000000000001" customHeight="1">
      <c r="A22" s="1938" t="s">
        <v>62</v>
      </c>
      <c r="B22" s="1939"/>
      <c r="C22" s="1939"/>
      <c r="D22" s="1939"/>
      <c r="E22" s="1929"/>
      <c r="F22" s="1929"/>
      <c r="G22" s="1929"/>
      <c r="H22" s="1929"/>
      <c r="I22" s="1929"/>
      <c r="J22" s="1930"/>
    </row>
    <row r="23" spans="1:10" ht="20.100000000000001" customHeight="1">
      <c r="A23" s="1928" t="s">
        <v>63</v>
      </c>
      <c r="B23" s="1929"/>
      <c r="C23" s="1929"/>
      <c r="D23" s="1929"/>
      <c r="E23" s="1929"/>
      <c r="F23" s="1929"/>
      <c r="G23" s="1929"/>
      <c r="H23" s="1929"/>
      <c r="I23" s="1929"/>
      <c r="J23" s="1930"/>
    </row>
    <row r="24" spans="1:10" ht="20.100000000000001" customHeight="1">
      <c r="A24" s="1928" t="s">
        <v>64</v>
      </c>
      <c r="B24" s="1929"/>
      <c r="C24" s="1929"/>
      <c r="D24" s="1929"/>
      <c r="E24" s="1929"/>
      <c r="F24" s="1929"/>
      <c r="G24" s="1929"/>
      <c r="H24" s="1929"/>
      <c r="I24" s="1929"/>
      <c r="J24" s="1930"/>
    </row>
    <row r="25" spans="1:10" ht="20.100000000000001" customHeight="1">
      <c r="A25" s="1928" t="s">
        <v>65</v>
      </c>
      <c r="B25" s="1929"/>
      <c r="C25" s="1929"/>
      <c r="D25" s="1929"/>
      <c r="E25" s="1929"/>
      <c r="F25" s="1929"/>
      <c r="G25" s="1929"/>
      <c r="H25" s="1929"/>
      <c r="I25" s="1929"/>
      <c r="J25" s="1930"/>
    </row>
    <row r="26" spans="1:10" ht="20.100000000000001" customHeight="1">
      <c r="A26" s="1946" t="s">
        <v>66</v>
      </c>
      <c r="B26" s="1947"/>
      <c r="C26" s="1947"/>
      <c r="D26" s="1947"/>
      <c r="E26" s="1947"/>
      <c r="F26" s="1947"/>
      <c r="G26" s="1947"/>
      <c r="H26" s="1947"/>
      <c r="I26" s="1947"/>
      <c r="J26" s="1948"/>
    </row>
    <row r="27" spans="1:10">
      <c r="A27" s="1938" t="s">
        <v>165</v>
      </c>
      <c r="B27" s="1939"/>
      <c r="C27" s="1939"/>
      <c r="D27" s="1939"/>
      <c r="E27" s="1939"/>
      <c r="F27" s="1939"/>
      <c r="G27" s="1939"/>
      <c r="H27" s="1939"/>
      <c r="I27" s="1939"/>
      <c r="J27" s="1949"/>
    </row>
    <row r="28" spans="1:10" ht="45" customHeight="1">
      <c r="A28" s="1950" t="s">
        <v>166</v>
      </c>
      <c r="B28" s="1951"/>
      <c r="C28" s="1951"/>
      <c r="D28" s="1951"/>
      <c r="E28" s="1951"/>
      <c r="F28" s="1951"/>
      <c r="G28" s="1951"/>
      <c r="H28" s="1951"/>
      <c r="I28" s="1951"/>
      <c r="J28" s="1952"/>
    </row>
    <row r="29" spans="1:10" ht="20.100000000000001" customHeight="1">
      <c r="A29" s="1931" t="s">
        <v>167</v>
      </c>
      <c r="B29" s="1953"/>
      <c r="C29" s="1953"/>
      <c r="D29" s="1953"/>
      <c r="E29" s="1953"/>
      <c r="F29" s="1953"/>
      <c r="G29" s="1953"/>
      <c r="H29" s="1953"/>
      <c r="I29" s="1953"/>
      <c r="J29" s="1954"/>
    </row>
    <row r="30" spans="1:10" ht="20.100000000000001" customHeight="1">
      <c r="A30" s="1940" t="s">
        <v>168</v>
      </c>
      <c r="B30" s="1941"/>
      <c r="C30" s="1941"/>
      <c r="D30" s="1941"/>
      <c r="E30" s="1941"/>
      <c r="F30" s="1941"/>
      <c r="G30" s="1941"/>
      <c r="H30" s="1941"/>
      <c r="I30" s="1941"/>
      <c r="J30" s="1942"/>
    </row>
    <row r="31" spans="1:10" ht="20.100000000000001" customHeight="1">
      <c r="A31" s="1940" t="s">
        <v>67</v>
      </c>
      <c r="B31" s="1941"/>
      <c r="C31" s="1941"/>
      <c r="D31" s="1941"/>
      <c r="E31" s="1941"/>
      <c r="F31" s="1941"/>
      <c r="G31" s="1941"/>
      <c r="H31" s="1941"/>
      <c r="I31" s="1941"/>
      <c r="J31" s="1942"/>
    </row>
    <row r="32" spans="1:10" ht="20.100000000000001" customHeight="1">
      <c r="A32" s="1940" t="s">
        <v>169</v>
      </c>
      <c r="B32" s="1941"/>
      <c r="C32" s="1941"/>
      <c r="D32" s="1941"/>
      <c r="E32" s="1941"/>
      <c r="F32" s="1941"/>
      <c r="G32" s="1941"/>
      <c r="H32" s="1941"/>
      <c r="I32" s="1941"/>
      <c r="J32" s="1942"/>
    </row>
    <row r="33" spans="1:10" ht="20.100000000000001" customHeight="1" thickBot="1">
      <c r="A33" s="1943" t="s">
        <v>68</v>
      </c>
      <c r="B33" s="1944"/>
      <c r="C33" s="1944"/>
      <c r="D33" s="1944"/>
      <c r="E33" s="1944"/>
      <c r="F33" s="1944"/>
      <c r="G33" s="1944"/>
      <c r="H33" s="1944"/>
      <c r="I33" s="1944"/>
      <c r="J33" s="1945"/>
    </row>
  </sheetData>
  <customSheetViews>
    <customSheetView guid="{3C925556-11AB-420F-9574-511192FFD696}" showPageBreaks="1" showGridLines="0" fitToPage="1" view="pageBreakPreview">
      <selection activeCell="Q16" sqref="Q16"/>
      <pageMargins left="0.75" right="0.75" top="1" bottom="1" header="0.5" footer="0.5"/>
      <pageSetup paperSize="9" scale="95" fitToHeight="0" orientation="portrait" r:id="rId1"/>
      <headerFooter alignWithMargins="0"/>
    </customSheetView>
  </customSheetViews>
  <mergeCells count="63">
    <mergeCell ref="A32:J32"/>
    <mergeCell ref="A33:J33"/>
    <mergeCell ref="A26:J26"/>
    <mergeCell ref="A27:J27"/>
    <mergeCell ref="A28:J28"/>
    <mergeCell ref="A29:J29"/>
    <mergeCell ref="A30:J30"/>
    <mergeCell ref="A31:J31"/>
    <mergeCell ref="A25:J25"/>
    <mergeCell ref="A17:B21"/>
    <mergeCell ref="C17:D21"/>
    <mergeCell ref="E17:G17"/>
    <mergeCell ref="H17:J17"/>
    <mergeCell ref="E18:G18"/>
    <mergeCell ref="H18:J18"/>
    <mergeCell ref="F19:G19"/>
    <mergeCell ref="I19:J19"/>
    <mergeCell ref="F20:G20"/>
    <mergeCell ref="I20:J20"/>
    <mergeCell ref="F21:G21"/>
    <mergeCell ref="I21:J21"/>
    <mergeCell ref="A22:J22"/>
    <mergeCell ref="A23:J23"/>
    <mergeCell ref="A24:J24"/>
    <mergeCell ref="A15:B16"/>
    <mergeCell ref="C15:D16"/>
    <mergeCell ref="E15:G15"/>
    <mergeCell ref="H15:J15"/>
    <mergeCell ref="E16:G16"/>
    <mergeCell ref="H16:J16"/>
    <mergeCell ref="A12:B12"/>
    <mergeCell ref="C12:D12"/>
    <mergeCell ref="E12:G12"/>
    <mergeCell ref="H12:J12"/>
    <mergeCell ref="A13:B14"/>
    <mergeCell ref="C13:D14"/>
    <mergeCell ref="E13:G13"/>
    <mergeCell ref="H13:J13"/>
    <mergeCell ref="E14:G14"/>
    <mergeCell ref="H14:J14"/>
    <mergeCell ref="A10:B10"/>
    <mergeCell ref="C10:D10"/>
    <mergeCell ref="E10:G10"/>
    <mergeCell ref="H10:J10"/>
    <mergeCell ref="A11:B11"/>
    <mergeCell ref="C11:D11"/>
    <mergeCell ref="E11:G11"/>
    <mergeCell ref="H11:J11"/>
    <mergeCell ref="A7:J7"/>
    <mergeCell ref="A8:B8"/>
    <mergeCell ref="C8:D8"/>
    <mergeCell ref="E8:J8"/>
    <mergeCell ref="A9:B9"/>
    <mergeCell ref="C9:D9"/>
    <mergeCell ref="E9:G9"/>
    <mergeCell ref="H9:J9"/>
    <mergeCell ref="B6:G6"/>
    <mergeCell ref="I6:J6"/>
    <mergeCell ref="A3:J3"/>
    <mergeCell ref="A4:J4"/>
    <mergeCell ref="B5:D5"/>
    <mergeCell ref="F5:G5"/>
    <mergeCell ref="I5:J5"/>
  </mergeCells>
  <phoneticPr fontId="4" type="noConversion"/>
  <pageMargins left="0.75" right="0.75" top="1" bottom="1" header="0.5" footer="0.5"/>
  <pageSetup paperSize="9" scale="95" fitToHeight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H68"/>
  <sheetViews>
    <sheetView showGridLines="0" tabSelected="1" view="pageBreakPreview" zoomScale="90" zoomScaleNormal="100" zoomScaleSheetLayoutView="90" workbookViewId="0">
      <selection activeCell="D19" sqref="D19"/>
    </sheetView>
  </sheetViews>
  <sheetFormatPr defaultRowHeight="16.5"/>
  <cols>
    <col min="1" max="1" width="9.33203125" style="53" customWidth="1"/>
    <col min="2" max="8" width="8.88671875" style="53"/>
    <col min="9" max="9" width="4.77734375" style="53" customWidth="1"/>
    <col min="10" max="10" width="1.77734375" style="55" customWidth="1"/>
    <col min="11" max="11" width="4.88671875" style="55" bestFit="1" customWidth="1"/>
    <col min="12" max="12" width="19" style="55" customWidth="1"/>
    <col min="13" max="13" width="40.88671875" style="55" customWidth="1"/>
    <col min="14" max="14" width="9" style="55" customWidth="1"/>
    <col min="15" max="16" width="1.77734375" style="55" customWidth="1"/>
    <col min="17" max="17" width="5.44140625" style="55" customWidth="1"/>
    <col min="18" max="18" width="6.77734375" style="55" customWidth="1"/>
    <col min="19" max="19" width="7.21875" style="55" bestFit="1" customWidth="1"/>
    <col min="20" max="20" width="11.77734375" style="55" customWidth="1"/>
    <col min="21" max="21" width="10.33203125" style="55" customWidth="1"/>
    <col min="22" max="22" width="11.77734375" style="55" customWidth="1"/>
    <col min="23" max="24" width="9.109375" style="55" customWidth="1"/>
    <col min="25" max="25" width="1.77734375" style="55" customWidth="1"/>
    <col min="26" max="16384" width="8.88671875" style="55"/>
  </cols>
  <sheetData>
    <row r="1" spans="1:34" ht="9.9499999999999993" customHeight="1">
      <c r="J1" s="54"/>
      <c r="K1" s="54"/>
      <c r="L1" s="54"/>
      <c r="M1" s="54"/>
      <c r="N1" s="54"/>
      <c r="O1" s="54"/>
    </row>
    <row r="2" spans="1:34" s="56" customFormat="1" ht="32.25" customHeight="1">
      <c r="A2" s="1011" t="s">
        <v>269</v>
      </c>
      <c r="B2" s="1012"/>
      <c r="C2" s="1012"/>
      <c r="D2" s="1012"/>
      <c r="E2" s="1012"/>
      <c r="F2" s="1012"/>
      <c r="G2" s="1012"/>
      <c r="H2" s="1012"/>
      <c r="I2" s="1012"/>
      <c r="J2" s="994" t="s">
        <v>274</v>
      </c>
      <c r="K2" s="995"/>
      <c r="L2" s="995"/>
      <c r="M2" s="995"/>
      <c r="N2" s="995"/>
      <c r="O2" s="995"/>
      <c r="P2" s="994" t="s">
        <v>274</v>
      </c>
      <c r="Q2" s="995"/>
      <c r="R2" s="995"/>
      <c r="S2" s="995"/>
      <c r="T2" s="995"/>
      <c r="U2" s="995"/>
      <c r="V2" s="995"/>
      <c r="W2" s="995"/>
      <c r="X2" s="995"/>
      <c r="Y2" s="995"/>
    </row>
    <row r="3" spans="1:34" s="56" customFormat="1" ht="9.9499999999999993" customHeight="1">
      <c r="A3" s="57"/>
      <c r="B3" s="57"/>
      <c r="C3" s="57"/>
      <c r="D3" s="57"/>
      <c r="E3" s="57"/>
      <c r="F3" s="57"/>
      <c r="G3" s="57"/>
      <c r="H3" s="57"/>
      <c r="I3" s="57"/>
      <c r="J3" s="58"/>
      <c r="K3" s="58"/>
      <c r="L3" s="58"/>
      <c r="M3" s="59"/>
      <c r="N3" s="59"/>
      <c r="O3" s="59"/>
    </row>
    <row r="4" spans="1:34" s="63" customFormat="1" ht="26.1" customHeight="1" thickBot="1">
      <c r="A4" s="85" t="str">
        <f>"1. 본 신청서는 '"&amp;$M$6&amp;"' 에만 해당됨"</f>
        <v>1. 본 신청서는 '' 에만 해당됨</v>
      </c>
      <c r="B4" s="60"/>
      <c r="C4" s="60"/>
      <c r="D4" s="60"/>
      <c r="E4" s="60"/>
      <c r="F4" s="60"/>
      <c r="G4" s="60"/>
      <c r="H4" s="60"/>
      <c r="I4" s="60"/>
      <c r="J4" s="61"/>
      <c r="K4" s="999" t="s">
        <v>426</v>
      </c>
      <c r="L4" s="1000"/>
      <c r="M4" s="1000"/>
      <c r="N4" s="1013"/>
      <c r="O4" s="62"/>
      <c r="Q4" s="999" t="s">
        <v>427</v>
      </c>
      <c r="R4" s="1000"/>
      <c r="S4" s="1000"/>
      <c r="T4" s="1000"/>
      <c r="U4" s="1001"/>
      <c r="V4" s="1000"/>
      <c r="W4" s="1000"/>
      <c r="X4" s="1001"/>
      <c r="Z4" s="1004"/>
      <c r="AA4" s="1004"/>
      <c r="AB4" s="1004"/>
      <c r="AC4" s="1004"/>
      <c r="AD4" s="1004"/>
      <c r="AE4" s="1004"/>
      <c r="AF4" s="1004"/>
      <c r="AG4" s="1004"/>
      <c r="AH4" s="1004"/>
    </row>
    <row r="5" spans="1:34" s="70" customFormat="1" ht="30.75" customHeight="1">
      <c r="A5" s="64" t="s">
        <v>174</v>
      </c>
      <c r="B5" s="65" t="s">
        <v>175</v>
      </c>
      <c r="C5" s="64"/>
      <c r="D5" s="64"/>
      <c r="E5" s="64"/>
      <c r="F5" s="64"/>
      <c r="G5" s="64"/>
      <c r="H5" s="64"/>
      <c r="I5" s="64"/>
      <c r="J5" s="66"/>
      <c r="K5" s="67" t="s">
        <v>176</v>
      </c>
      <c r="L5" s="67" t="s">
        <v>177</v>
      </c>
      <c r="M5" s="68" t="s">
        <v>178</v>
      </c>
      <c r="N5" s="68" t="s">
        <v>179</v>
      </c>
      <c r="O5" s="69"/>
      <c r="Q5" s="356" t="s">
        <v>277</v>
      </c>
      <c r="R5" s="356" t="s">
        <v>278</v>
      </c>
      <c r="S5" s="357" t="s">
        <v>279</v>
      </c>
      <c r="T5" s="364" t="s">
        <v>288</v>
      </c>
      <c r="U5" s="361" t="s">
        <v>591</v>
      </c>
      <c r="V5" s="816" t="s">
        <v>280</v>
      </c>
      <c r="W5" s="813" t="s">
        <v>597</v>
      </c>
      <c r="X5" s="814" t="s">
        <v>616</v>
      </c>
      <c r="Z5" s="1005"/>
      <c r="AA5" s="1005"/>
      <c r="AB5" s="1006"/>
      <c r="AC5" s="1005"/>
      <c r="AD5" s="1005"/>
      <c r="AE5" s="1005"/>
      <c r="AF5" s="1005"/>
      <c r="AG5" s="1007"/>
      <c r="AH5" s="1005"/>
    </row>
    <row r="6" spans="1:34" s="70" customFormat="1" ht="26.1" customHeight="1">
      <c r="A6" s="64"/>
      <c r="B6" s="65" t="s">
        <v>623</v>
      </c>
      <c r="C6" s="64"/>
      <c r="D6" s="71"/>
      <c r="E6" s="64"/>
      <c r="F6" s="64"/>
      <c r="G6" s="64"/>
      <c r="H6" s="64"/>
      <c r="I6" s="64"/>
      <c r="J6" s="66"/>
      <c r="K6" s="625">
        <v>1</v>
      </c>
      <c r="L6" s="138" t="s">
        <v>183</v>
      </c>
      <c r="M6" s="346"/>
      <c r="N6" s="96"/>
      <c r="O6" s="80"/>
      <c r="P6" s="76"/>
      <c r="Q6" s="996" t="s">
        <v>281</v>
      </c>
      <c r="R6" s="358" t="s">
        <v>34</v>
      </c>
      <c r="S6" s="358" t="s">
        <v>283</v>
      </c>
      <c r="T6" s="359"/>
      <c r="U6" s="362" t="s">
        <v>287</v>
      </c>
      <c r="V6" s="885" t="s">
        <v>676</v>
      </c>
      <c r="W6" s="106" t="s">
        <v>593</v>
      </c>
      <c r="X6" s="815" t="s">
        <v>617</v>
      </c>
      <c r="Z6" s="1005"/>
      <c r="AA6" s="1005"/>
      <c r="AB6" s="1005"/>
      <c r="AC6" s="565"/>
      <c r="AD6" s="566"/>
      <c r="AE6" s="567"/>
      <c r="AF6" s="568"/>
      <c r="AG6" s="1008"/>
      <c r="AH6" s="1005"/>
    </row>
    <row r="7" spans="1:34" s="70" customFormat="1" ht="26.1" customHeight="1">
      <c r="A7" s="64"/>
      <c r="B7" s="65" t="s">
        <v>181</v>
      </c>
      <c r="C7" s="64"/>
      <c r="D7" s="71"/>
      <c r="E7" s="64"/>
      <c r="F7" s="64"/>
      <c r="G7" s="72"/>
      <c r="H7" s="64"/>
      <c r="I7" s="64"/>
      <c r="J7" s="66"/>
      <c r="K7" s="981">
        <v>2</v>
      </c>
      <c r="L7" s="139" t="s">
        <v>184</v>
      </c>
      <c r="M7" s="149">
        <f>SUM(M8:M9)</f>
        <v>495631</v>
      </c>
      <c r="N7" s="884">
        <f>M7/100000</f>
        <v>4.9563100000000002</v>
      </c>
      <c r="O7" s="80"/>
      <c r="P7" s="76"/>
      <c r="Q7" s="997"/>
      <c r="R7" s="358" t="s">
        <v>148</v>
      </c>
      <c r="S7" s="358" t="s">
        <v>284</v>
      </c>
      <c r="T7" s="106"/>
      <c r="U7" s="362"/>
      <c r="V7" s="885"/>
      <c r="W7" s="106" t="s">
        <v>614</v>
      </c>
      <c r="X7" s="815" t="s">
        <v>619</v>
      </c>
      <c r="Z7" s="746"/>
      <c r="AA7" s="569"/>
      <c r="AB7" s="569"/>
      <c r="AC7" s="569"/>
      <c r="AD7" s="569"/>
      <c r="AE7" s="569"/>
      <c r="AF7" s="569"/>
      <c r="AG7" s="570"/>
      <c r="AH7" s="541"/>
    </row>
    <row r="8" spans="1:34" s="70" customFormat="1" ht="26.1" customHeight="1">
      <c r="A8" s="64" t="s">
        <v>195</v>
      </c>
      <c r="B8" s="64"/>
      <c r="C8" s="64"/>
      <c r="D8" s="64"/>
      <c r="E8" s="64"/>
      <c r="F8" s="64"/>
      <c r="G8" s="64"/>
      <c r="H8" s="64"/>
      <c r="I8" s="64"/>
      <c r="J8" s="73"/>
      <c r="K8" s="1019"/>
      <c r="L8" s="810" t="s">
        <v>270</v>
      </c>
      <c r="M8" s="150">
        <v>450573.636</v>
      </c>
      <c r="N8" s="882">
        <f>M8/100000</f>
        <v>4.5057363600000002</v>
      </c>
      <c r="O8" s="80"/>
      <c r="P8" s="76"/>
      <c r="Q8" s="997"/>
      <c r="R8" s="358" t="s">
        <v>669</v>
      </c>
      <c r="S8" s="358" t="s">
        <v>284</v>
      </c>
      <c r="T8" s="106"/>
      <c r="U8" s="362"/>
      <c r="V8" s="360"/>
      <c r="W8" s="106" t="s">
        <v>614</v>
      </c>
      <c r="X8" s="815" t="s">
        <v>619</v>
      </c>
      <c r="Z8" s="745"/>
      <c r="AA8" s="569"/>
      <c r="AB8" s="569"/>
      <c r="AC8" s="569"/>
      <c r="AD8" s="569"/>
      <c r="AE8" s="569"/>
      <c r="AF8" s="569"/>
      <c r="AG8" s="570"/>
      <c r="AH8" s="541"/>
    </row>
    <row r="9" spans="1:34" s="76" customFormat="1" ht="26.1" customHeight="1">
      <c r="A9" s="747" t="s">
        <v>586</v>
      </c>
      <c r="B9" s="60"/>
      <c r="C9" s="60"/>
      <c r="D9" s="60"/>
      <c r="E9" s="60"/>
      <c r="F9" s="60"/>
      <c r="G9" s="60"/>
      <c r="H9" s="60"/>
      <c r="I9" s="60"/>
      <c r="J9" s="75"/>
      <c r="K9" s="982"/>
      <c r="L9" s="809" t="s">
        <v>271</v>
      </c>
      <c r="M9" s="151">
        <v>45057.364000000001</v>
      </c>
      <c r="N9" s="883">
        <f>M9/100000</f>
        <v>0.45057364</v>
      </c>
      <c r="O9" s="80"/>
      <c r="Q9" s="998"/>
      <c r="R9" s="363"/>
      <c r="S9" s="105"/>
      <c r="T9" s="106"/>
      <c r="U9" s="362"/>
      <c r="V9" s="360"/>
      <c r="W9" s="106"/>
      <c r="X9" s="815"/>
      <c r="Z9" s="745"/>
      <c r="AA9" s="571"/>
      <c r="AB9" s="569"/>
      <c r="AC9" s="569"/>
      <c r="AD9" s="569"/>
      <c r="AE9" s="569"/>
      <c r="AF9" s="569"/>
      <c r="AG9" s="570"/>
      <c r="AH9" s="541"/>
    </row>
    <row r="10" spans="1:34" s="76" customFormat="1" ht="26.1" customHeight="1">
      <c r="A10" s="74" t="s">
        <v>182</v>
      </c>
      <c r="B10" s="77"/>
      <c r="C10" s="77"/>
      <c r="D10" s="77"/>
      <c r="E10" s="77"/>
      <c r="F10" s="77"/>
      <c r="G10" s="77"/>
      <c r="H10" s="77"/>
      <c r="I10" s="77"/>
      <c r="J10" s="75"/>
      <c r="K10" s="1015">
        <v>3</v>
      </c>
      <c r="L10" s="713" t="s">
        <v>464</v>
      </c>
      <c r="M10" s="714" t="s">
        <v>462</v>
      </c>
      <c r="N10" s="98"/>
      <c r="O10" s="69"/>
      <c r="P10" s="70"/>
      <c r="Q10" s="996" t="s">
        <v>282</v>
      </c>
      <c r="R10" s="358" t="s">
        <v>158</v>
      </c>
      <c r="S10" s="358" t="s">
        <v>285</v>
      </c>
      <c r="T10" s="137"/>
      <c r="U10" s="362" t="s">
        <v>592</v>
      </c>
      <c r="V10" s="885" t="s">
        <v>677</v>
      </c>
      <c r="W10" s="106" t="s">
        <v>593</v>
      </c>
      <c r="X10" s="815" t="s">
        <v>617</v>
      </c>
      <c r="Z10" s="745"/>
      <c r="AA10" s="571"/>
      <c r="AB10" s="569"/>
      <c r="AC10" s="569"/>
      <c r="AD10" s="569"/>
      <c r="AE10" s="569"/>
      <c r="AF10" s="569"/>
      <c r="AG10" s="570"/>
      <c r="AH10" s="541"/>
    </row>
    <row r="11" spans="1:34" s="70" customFormat="1" ht="26.1" customHeight="1">
      <c r="A11" s="824" t="s">
        <v>631</v>
      </c>
      <c r="B11" s="71"/>
      <c r="C11" s="71"/>
      <c r="D11" s="71"/>
      <c r="E11" s="71"/>
      <c r="F11" s="71"/>
      <c r="G11" s="71"/>
      <c r="H11" s="71"/>
      <c r="I11" s="71"/>
      <c r="J11" s="79"/>
      <c r="K11" s="1016"/>
      <c r="L11" s="715" t="s">
        <v>524</v>
      </c>
      <c r="M11" s="716" t="s">
        <v>466</v>
      </c>
      <c r="N11" s="152"/>
      <c r="Q11" s="998"/>
      <c r="R11" s="135"/>
      <c r="S11" s="136"/>
      <c r="T11" s="106"/>
      <c r="U11" s="362"/>
      <c r="V11" s="360"/>
      <c r="W11" s="106"/>
      <c r="X11" s="815"/>
      <c r="Z11" s="745"/>
      <c r="AA11" s="571"/>
      <c r="AB11" s="569"/>
      <c r="AC11" s="569"/>
      <c r="AD11" s="569"/>
      <c r="AE11" s="569"/>
      <c r="AF11" s="569"/>
      <c r="AG11" s="570"/>
      <c r="AH11" s="541"/>
    </row>
    <row r="12" spans="1:34" s="70" customFormat="1" ht="26.1" customHeight="1" thickBot="1">
      <c r="A12" s="825" t="s">
        <v>630</v>
      </c>
      <c r="B12" s="71"/>
      <c r="C12" s="71"/>
      <c r="D12" s="71"/>
      <c r="E12" s="71"/>
      <c r="F12" s="71"/>
      <c r="G12" s="71"/>
      <c r="H12" s="71"/>
      <c r="I12" s="71"/>
      <c r="J12" s="79"/>
      <c r="K12" s="1016"/>
      <c r="L12" s="717" t="s">
        <v>525</v>
      </c>
      <c r="M12" s="718" t="s">
        <v>467</v>
      </c>
      <c r="N12" s="99"/>
      <c r="Q12" s="1017" t="s">
        <v>286</v>
      </c>
      <c r="R12" s="1018"/>
      <c r="S12" s="1018"/>
      <c r="T12" s="1018"/>
      <c r="U12" s="896" t="str">
        <f>COUNTA(U6:U11)&amp;"인"</f>
        <v>2인</v>
      </c>
      <c r="V12" s="898" t="s">
        <v>675</v>
      </c>
      <c r="W12" s="897" t="str">
        <f>COUNTIF(W6:W11,"배치")&amp;"인"</f>
        <v>2인</v>
      </c>
      <c r="X12" s="899" t="str">
        <f>COUNTIF(X6:X11,"평가")&amp;"인"</f>
        <v>2인</v>
      </c>
      <c r="Z12" s="745"/>
      <c r="AA12" s="571"/>
      <c r="AB12" s="569"/>
      <c r="AC12" s="569"/>
      <c r="AD12" s="569"/>
      <c r="AE12" s="569"/>
      <c r="AF12" s="569"/>
      <c r="AG12" s="570"/>
      <c r="AH12" s="541"/>
    </row>
    <row r="13" spans="1:34" s="70" customFormat="1" ht="26.1" customHeight="1">
      <c r="A13" s="1025" t="s">
        <v>622</v>
      </c>
      <c r="B13" s="1025"/>
      <c r="C13" s="1025"/>
      <c r="D13" s="1025"/>
      <c r="E13" s="1025"/>
      <c r="F13" s="1025"/>
      <c r="G13" s="1025"/>
      <c r="H13" s="1025"/>
      <c r="I13" s="1025"/>
      <c r="J13" s="79"/>
      <c r="K13" s="981">
        <v>4</v>
      </c>
      <c r="L13" s="713" t="s">
        <v>465</v>
      </c>
      <c r="M13" s="714" t="s">
        <v>462</v>
      </c>
      <c r="N13" s="98"/>
      <c r="O13" s="69"/>
      <c r="Q13" s="1014"/>
      <c r="R13" s="992"/>
      <c r="S13" s="992"/>
      <c r="T13" s="992"/>
      <c r="U13" s="542"/>
      <c r="V13" s="541"/>
      <c r="W13" s="541"/>
      <c r="X13" s="543"/>
      <c r="Z13" s="992"/>
      <c r="AA13" s="569"/>
      <c r="AB13" s="569"/>
      <c r="AC13" s="569"/>
      <c r="AD13" s="569"/>
      <c r="AE13" s="569"/>
      <c r="AF13" s="569"/>
      <c r="AG13" s="570"/>
      <c r="AH13" s="541"/>
    </row>
    <row r="14" spans="1:34" s="70" customFormat="1" ht="26.1" customHeight="1">
      <c r="A14" s="141" t="s">
        <v>632</v>
      </c>
      <c r="B14" s="71"/>
      <c r="C14" s="71"/>
      <c r="D14" s="71"/>
      <c r="E14" s="71"/>
      <c r="F14" s="71"/>
      <c r="G14" s="71"/>
      <c r="H14" s="71"/>
      <c r="I14" s="71"/>
      <c r="J14" s="79"/>
      <c r="K14" s="1019"/>
      <c r="L14" s="715" t="s">
        <v>461</v>
      </c>
      <c r="M14" s="716" t="s">
        <v>468</v>
      </c>
      <c r="N14" s="152"/>
      <c r="O14" s="78"/>
      <c r="Q14" s="1020" t="s">
        <v>428</v>
      </c>
      <c r="R14" s="1021"/>
      <c r="S14" s="1021"/>
      <c r="T14" s="1021"/>
      <c r="U14" s="1021"/>
      <c r="V14" s="1021"/>
      <c r="W14" s="1021"/>
      <c r="X14" s="1022"/>
      <c r="Z14" s="992"/>
      <c r="AA14" s="571"/>
      <c r="AB14" s="569"/>
      <c r="AC14" s="569"/>
      <c r="AD14" s="569"/>
      <c r="AE14" s="569"/>
      <c r="AF14" s="569"/>
      <c r="AG14" s="570"/>
      <c r="AH14" s="541"/>
    </row>
    <row r="15" spans="1:34" s="70" customFormat="1" ht="26.1" customHeight="1">
      <c r="A15" s="141" t="s">
        <v>633</v>
      </c>
      <c r="B15" s="71"/>
      <c r="C15" s="71"/>
      <c r="D15" s="71"/>
      <c r="E15" s="71"/>
      <c r="F15" s="71"/>
      <c r="G15" s="71"/>
      <c r="H15" s="71"/>
      <c r="I15" s="71"/>
      <c r="J15" s="79"/>
      <c r="K15" s="982"/>
      <c r="L15" s="717" t="s">
        <v>526</v>
      </c>
      <c r="M15" s="718" t="s">
        <v>469</v>
      </c>
      <c r="N15" s="99"/>
      <c r="O15" s="80"/>
      <c r="P15" s="76"/>
      <c r="Q15" s="67" t="s">
        <v>176</v>
      </c>
      <c r="R15" s="1023" t="s">
        <v>177</v>
      </c>
      <c r="S15" s="1021"/>
      <c r="T15" s="1021"/>
      <c r="U15" s="1022"/>
      <c r="V15" s="1024" t="s">
        <v>178</v>
      </c>
      <c r="W15" s="1024"/>
      <c r="X15" s="848" t="s">
        <v>179</v>
      </c>
      <c r="Z15" s="992"/>
      <c r="AA15" s="571"/>
      <c r="AB15" s="569"/>
      <c r="AC15" s="569"/>
      <c r="AD15" s="569"/>
      <c r="AE15" s="569"/>
      <c r="AF15" s="569"/>
      <c r="AG15" s="570"/>
      <c r="AH15" s="541"/>
    </row>
    <row r="16" spans="1:34" s="70" customFormat="1" ht="26.1" customHeight="1">
      <c r="A16" s="141" t="s">
        <v>634</v>
      </c>
      <c r="B16" s="71"/>
      <c r="C16" s="71"/>
      <c r="D16" s="71"/>
      <c r="E16" s="71"/>
      <c r="F16" s="71"/>
      <c r="G16" s="71"/>
      <c r="H16" s="71"/>
      <c r="I16" s="71"/>
      <c r="J16" s="79"/>
      <c r="K16" s="981">
        <v>5</v>
      </c>
      <c r="L16" s="347" t="s">
        <v>272</v>
      </c>
      <c r="M16" s="355">
        <v>900</v>
      </c>
      <c r="N16" s="98"/>
      <c r="O16" s="80"/>
      <c r="P16" s="76"/>
      <c r="Q16" s="81" t="s">
        <v>180</v>
      </c>
      <c r="R16" s="984" t="s">
        <v>197</v>
      </c>
      <c r="S16" s="985"/>
      <c r="T16" s="985"/>
      <c r="U16" s="986"/>
      <c r="V16" s="987" t="s">
        <v>694</v>
      </c>
      <c r="W16" s="988"/>
      <c r="X16" s="849"/>
      <c r="Z16" s="992"/>
      <c r="AA16" s="992"/>
      <c r="AB16" s="992"/>
      <c r="AC16" s="992"/>
      <c r="AD16" s="992"/>
      <c r="AE16" s="992"/>
      <c r="AF16" s="544"/>
      <c r="AG16" s="541"/>
      <c r="AH16" s="541"/>
    </row>
    <row r="17" spans="1:34" s="70" customFormat="1" ht="26.1" customHeight="1">
      <c r="A17" s="817" t="s">
        <v>425</v>
      </c>
      <c r="B17" s="320"/>
      <c r="C17" s="320"/>
      <c r="D17" s="320"/>
      <c r="E17" s="320"/>
      <c r="F17" s="320"/>
      <c r="G17" s="320"/>
      <c r="H17" s="320"/>
      <c r="I17" s="71"/>
      <c r="J17" s="79"/>
      <c r="K17" s="982"/>
      <c r="L17" s="351" t="s">
        <v>273</v>
      </c>
      <c r="M17" s="712" t="str">
        <f>IF($M$16&gt;=1200,"1,200세대이상",IF($M$16&gt;=800,"800세대이상 1,200세대미만",IF($M$16&gt;=300,"300세대이상 800세대미만","입력오류(세대수 300세대미만)")))</f>
        <v>800세대이상 1,200세대미만</v>
      </c>
      <c r="N17" s="97"/>
      <c r="O17" s="79"/>
      <c r="Q17" s="972">
        <v>2</v>
      </c>
      <c r="R17" s="972" t="s">
        <v>198</v>
      </c>
      <c r="S17" s="550" t="s">
        <v>423</v>
      </c>
      <c r="T17" s="811" t="s">
        <v>585</v>
      </c>
      <c r="U17" s="545">
        <v>1</v>
      </c>
      <c r="V17" s="989" t="s">
        <v>199</v>
      </c>
      <c r="W17" s="990"/>
      <c r="X17" s="911"/>
      <c r="Z17" s="636"/>
      <c r="AB17" s="95"/>
    </row>
    <row r="18" spans="1:34" s="70" customFormat="1" ht="26.1" customHeight="1">
      <c r="A18" s="975" t="s">
        <v>257</v>
      </c>
      <c r="B18" s="975"/>
      <c r="C18" s="975"/>
      <c r="D18" s="975"/>
      <c r="E18" s="975"/>
      <c r="F18" s="975"/>
      <c r="G18" s="975"/>
      <c r="H18" s="975"/>
      <c r="I18" s="71"/>
      <c r="J18" s="79"/>
      <c r="K18" s="983">
        <v>6</v>
      </c>
      <c r="L18" s="353" t="s">
        <v>275</v>
      </c>
      <c r="M18" s="149">
        <f>SUM(M19:M20)</f>
        <v>2381192</v>
      </c>
      <c r="N18" s="884">
        <f>M18/100000</f>
        <v>23.811920000000001</v>
      </c>
      <c r="O18" s="79"/>
      <c r="Q18" s="973"/>
      <c r="R18" s="973"/>
      <c r="S18" s="914" t="s">
        <v>424</v>
      </c>
      <c r="T18" s="549"/>
      <c r="U18" s="207"/>
      <c r="V18" s="989"/>
      <c r="W18" s="990"/>
      <c r="X18" s="910"/>
      <c r="Y18" s="83"/>
      <c r="Z18" s="1026"/>
      <c r="AA18" s="1026"/>
      <c r="AB18" s="1026"/>
      <c r="AC18" s="1026"/>
      <c r="AD18" s="1026"/>
      <c r="AE18" s="1026"/>
      <c r="AF18" s="1026"/>
      <c r="AG18" s="1026"/>
      <c r="AH18" s="1026"/>
    </row>
    <row r="19" spans="1:34" s="70" customFormat="1" ht="26.1" customHeight="1">
      <c r="A19" s="108"/>
      <c r="B19" s="321"/>
      <c r="C19" s="321"/>
      <c r="D19" s="321"/>
      <c r="E19" s="321"/>
      <c r="F19" s="321"/>
      <c r="G19" s="320"/>
      <c r="H19" s="320"/>
      <c r="I19" s="71"/>
      <c r="J19" s="79"/>
      <c r="K19" s="983"/>
      <c r="L19" s="354" t="s">
        <v>270</v>
      </c>
      <c r="M19" s="150">
        <v>2164720</v>
      </c>
      <c r="N19" s="882">
        <f>M19/100000</f>
        <v>21.647200000000002</v>
      </c>
      <c r="Q19" s="148">
        <v>3</v>
      </c>
      <c r="R19" s="978" t="s">
        <v>149</v>
      </c>
      <c r="S19" s="979"/>
      <c r="T19" s="979"/>
      <c r="U19" s="980"/>
      <c r="V19" s="976">
        <v>45292</v>
      </c>
      <c r="W19" s="977"/>
      <c r="X19" s="849"/>
      <c r="Y19" s="83"/>
      <c r="Z19" s="572"/>
      <c r="AA19" s="1026"/>
      <c r="AB19" s="1026"/>
      <c r="AC19" s="1026"/>
      <c r="AD19" s="1026"/>
      <c r="AE19" s="1026"/>
      <c r="AF19" s="1026"/>
      <c r="AG19" s="1026"/>
      <c r="AH19" s="1026"/>
    </row>
    <row r="20" spans="1:34" s="70" customFormat="1" ht="26.1" customHeight="1">
      <c r="A20" s="109"/>
      <c r="B20" s="321"/>
      <c r="C20" s="321"/>
      <c r="D20" s="321"/>
      <c r="E20" s="321"/>
      <c r="F20" s="321"/>
      <c r="G20" s="321"/>
      <c r="H20" s="322"/>
      <c r="I20" s="83"/>
      <c r="J20" s="79"/>
      <c r="K20" s="983"/>
      <c r="L20" s="352" t="s">
        <v>276</v>
      </c>
      <c r="M20" s="151">
        <v>216472</v>
      </c>
      <c r="N20" s="883">
        <f>M20/100000</f>
        <v>2.16472</v>
      </c>
      <c r="Q20" s="148">
        <v>4</v>
      </c>
      <c r="R20" s="978" t="s">
        <v>663</v>
      </c>
      <c r="S20" s="979"/>
      <c r="T20" s="979"/>
      <c r="U20" s="980"/>
      <c r="V20" s="976">
        <v>45352</v>
      </c>
      <c r="W20" s="977"/>
      <c r="X20" s="849"/>
      <c r="Y20" s="83"/>
      <c r="Z20" s="573"/>
      <c r="AA20" s="1030"/>
      <c r="AB20" s="1030"/>
      <c r="AC20" s="1030"/>
      <c r="AD20" s="1030"/>
      <c r="AE20" s="1010"/>
      <c r="AF20" s="1010"/>
      <c r="AG20" s="1010"/>
      <c r="AH20" s="1010"/>
    </row>
    <row r="21" spans="1:34" s="70" customFormat="1" ht="26.1" customHeight="1">
      <c r="A21" s="109"/>
      <c r="B21" s="109"/>
      <c r="C21" s="109"/>
      <c r="D21" s="109"/>
      <c r="E21" s="109"/>
      <c r="F21" s="109"/>
      <c r="G21" s="107"/>
      <c r="H21" s="101"/>
      <c r="I21" s="31"/>
      <c r="J21" s="79"/>
      <c r="K21" s="626">
        <v>7</v>
      </c>
      <c r="L21" s="624" t="s">
        <v>196</v>
      </c>
      <c r="M21" s="628" t="s">
        <v>668</v>
      </c>
      <c r="N21" s="98"/>
      <c r="Q21" s="148">
        <v>5</v>
      </c>
      <c r="R21" s="978" t="s">
        <v>686</v>
      </c>
      <c r="S21" s="979"/>
      <c r="T21" s="979"/>
      <c r="U21" s="980"/>
      <c r="V21" s="991" t="s">
        <v>674</v>
      </c>
      <c r="W21" s="977"/>
      <c r="X21" s="895" t="str">
        <f>IF(M22=V21,"적정","부적정")</f>
        <v>적정</v>
      </c>
      <c r="Y21" s="83"/>
      <c r="Z21" s="1031"/>
      <c r="AA21" s="1030"/>
      <c r="AB21" s="551"/>
      <c r="AC21" s="552"/>
      <c r="AD21" s="553"/>
      <c r="AE21" s="1010"/>
      <c r="AF21" s="1010"/>
      <c r="AG21" s="1010"/>
      <c r="AH21" s="1010"/>
    </row>
    <row r="22" spans="1:34" s="70" customFormat="1" ht="26.1" customHeight="1">
      <c r="A22" s="109"/>
      <c r="B22" s="109"/>
      <c r="C22" s="109"/>
      <c r="D22" s="109"/>
      <c r="E22" s="109"/>
      <c r="F22" s="109"/>
      <c r="G22" s="321"/>
      <c r="H22" s="101"/>
      <c r="I22" s="31"/>
      <c r="K22" s="626">
        <v>8</v>
      </c>
      <c r="L22" s="891" t="s">
        <v>671</v>
      </c>
      <c r="M22" s="892" t="s">
        <v>672</v>
      </c>
      <c r="N22" s="893"/>
      <c r="Q22" s="557"/>
      <c r="R22" s="546"/>
      <c r="S22" s="558"/>
      <c r="T22" s="559"/>
      <c r="U22" s="560"/>
      <c r="V22" s="548"/>
      <c r="W22" s="547"/>
      <c r="X22" s="547"/>
      <c r="Y22" s="83"/>
      <c r="Z22" s="1031"/>
      <c r="AA22" s="1030"/>
      <c r="AB22" s="551"/>
      <c r="AC22" s="552"/>
      <c r="AD22" s="553"/>
      <c r="AE22" s="1010"/>
      <c r="AF22" s="1010"/>
      <c r="AG22" s="1010"/>
      <c r="AH22" s="1010"/>
    </row>
    <row r="23" spans="1:34" s="70" customFormat="1" ht="26.1" customHeight="1">
      <c r="A23" s="109"/>
      <c r="B23" s="109"/>
      <c r="C23" s="109"/>
      <c r="D23" s="109"/>
      <c r="E23" s="109"/>
      <c r="F23" s="109"/>
      <c r="G23" s="109"/>
      <c r="H23" s="101"/>
      <c r="I23" s="31"/>
      <c r="K23" s="626">
        <v>9</v>
      </c>
      <c r="L23" s="891" t="s">
        <v>673</v>
      </c>
      <c r="M23" s="894"/>
      <c r="N23" s="893"/>
      <c r="O23" s="79"/>
      <c r="Q23" s="557"/>
      <c r="R23" s="546"/>
      <c r="S23" s="558"/>
      <c r="T23" s="559"/>
      <c r="U23" s="560"/>
      <c r="V23" s="548"/>
      <c r="W23" s="547"/>
      <c r="X23" s="547"/>
      <c r="Y23" s="83"/>
      <c r="Z23" s="1031"/>
      <c r="AA23" s="1030"/>
      <c r="AB23" s="551"/>
      <c r="AC23" s="554"/>
      <c r="AD23" s="555"/>
      <c r="AE23" s="1009"/>
      <c r="AF23" s="1010"/>
      <c r="AG23" s="1010"/>
      <c r="AH23" s="1010"/>
    </row>
    <row r="24" spans="1:34" s="29" customFormat="1" ht="24.95" customHeight="1">
      <c r="A24" s="109"/>
      <c r="B24" s="111"/>
      <c r="C24" s="111"/>
      <c r="D24" s="111"/>
      <c r="E24" s="111"/>
      <c r="F24" s="111"/>
      <c r="G24" s="109"/>
      <c r="H24" s="102"/>
      <c r="I24" s="31"/>
      <c r="K24" s="627" t="s">
        <v>463</v>
      </c>
      <c r="L24" s="82"/>
      <c r="M24" s="82"/>
      <c r="N24" s="82"/>
      <c r="O24" s="79"/>
      <c r="P24" s="70"/>
      <c r="Q24" s="561"/>
      <c r="R24" s="1002"/>
      <c r="S24" s="1002"/>
      <c r="T24" s="1002"/>
      <c r="U24" s="1002"/>
      <c r="V24" s="1003"/>
      <c r="W24" s="1002"/>
      <c r="X24" s="784"/>
      <c r="Y24" s="83"/>
      <c r="Z24" s="1031"/>
      <c r="AA24" s="1030"/>
      <c r="AB24" s="551"/>
      <c r="AC24" s="554"/>
      <c r="AD24" s="555"/>
      <c r="AE24" s="1009"/>
      <c r="AF24" s="1010"/>
      <c r="AG24" s="1010"/>
      <c r="AH24" s="1010"/>
    </row>
    <row r="25" spans="1:34" s="24" customFormat="1" ht="24.95" customHeight="1">
      <c r="A25" s="109"/>
      <c r="B25" s="111"/>
      <c r="C25" s="111"/>
      <c r="D25" s="111"/>
      <c r="E25" s="111"/>
      <c r="F25" s="111"/>
      <c r="G25" s="109"/>
      <c r="H25" s="102"/>
      <c r="I25" s="31"/>
      <c r="J25" s="23"/>
      <c r="L25" s="112"/>
      <c r="M25" s="112"/>
      <c r="N25" s="112"/>
      <c r="O25" s="79"/>
      <c r="P25" s="70"/>
      <c r="Q25" s="83"/>
      <c r="R25" s="83"/>
      <c r="S25" s="83"/>
      <c r="T25" s="83"/>
      <c r="U25" s="83"/>
      <c r="V25" s="83"/>
      <c r="W25" s="83"/>
      <c r="X25" s="83"/>
      <c r="Y25" s="83"/>
      <c r="Z25" s="1031"/>
      <c r="AA25" s="1030"/>
      <c r="AB25" s="551"/>
      <c r="AC25" s="554"/>
      <c r="AD25" s="555"/>
      <c r="AE25" s="1009"/>
      <c r="AF25" s="1010"/>
      <c r="AG25" s="1010"/>
      <c r="AH25" s="1010"/>
    </row>
    <row r="26" spans="1:34" s="24" customFormat="1" ht="24.95" customHeight="1">
      <c r="A26" s="974"/>
      <c r="B26" s="974"/>
      <c r="C26" s="974"/>
      <c r="D26" s="974"/>
      <c r="E26" s="974"/>
      <c r="F26" s="974"/>
      <c r="G26" s="974"/>
      <c r="H26" s="974"/>
      <c r="I26" s="111"/>
      <c r="J26" s="23"/>
      <c r="K26" s="113"/>
      <c r="L26" s="113"/>
      <c r="M26" s="113"/>
      <c r="N26" s="113"/>
      <c r="O26" s="79"/>
      <c r="P26" s="70"/>
      <c r="Q26" s="83"/>
      <c r="R26" s="83"/>
      <c r="S26" s="83"/>
      <c r="T26" s="39"/>
      <c r="U26" s="39"/>
      <c r="V26" s="39"/>
      <c r="W26" s="39"/>
      <c r="X26" s="39"/>
      <c r="Y26" s="83"/>
      <c r="Z26" s="556"/>
      <c r="AA26" s="1027"/>
      <c r="AB26" s="1027"/>
      <c r="AC26" s="1027"/>
      <c r="AD26" s="1027"/>
      <c r="AE26" s="1028"/>
      <c r="AF26" s="1029"/>
      <c r="AG26" s="1010"/>
      <c r="AH26" s="1010"/>
    </row>
    <row r="27" spans="1:34" s="24" customFormat="1" ht="24.95" customHeight="1">
      <c r="G27" s="110"/>
      <c r="H27" s="103"/>
      <c r="I27" s="32"/>
      <c r="J27" s="23"/>
      <c r="K27" s="82"/>
      <c r="L27" s="82"/>
      <c r="M27" s="82"/>
      <c r="N27" s="82"/>
      <c r="O27" s="79"/>
      <c r="P27" s="70"/>
      <c r="Q27" s="83"/>
      <c r="R27" s="83"/>
      <c r="S27" s="83"/>
      <c r="T27" s="114"/>
      <c r="U27" s="114"/>
      <c r="V27" s="114"/>
      <c r="W27" s="114"/>
      <c r="X27" s="114"/>
      <c r="Z27" s="574"/>
      <c r="AA27" s="574"/>
      <c r="AB27" s="574"/>
      <c r="AC27" s="574"/>
      <c r="AD27" s="574"/>
      <c r="AE27" s="574"/>
      <c r="AF27" s="574"/>
      <c r="AG27" s="574"/>
      <c r="AH27" s="574"/>
    </row>
    <row r="28" spans="1:34" s="24" customFormat="1" ht="24.95" customHeight="1">
      <c r="H28" s="103"/>
      <c r="I28" s="32"/>
      <c r="J28" s="23"/>
      <c r="K28" s="70"/>
      <c r="L28" s="70"/>
      <c r="M28" s="70"/>
      <c r="N28" s="70"/>
      <c r="O28" s="79"/>
      <c r="P28" s="84"/>
      <c r="Q28" s="70"/>
      <c r="R28" s="70"/>
      <c r="S28" s="29"/>
      <c r="Z28" s="574"/>
      <c r="AA28" s="574"/>
      <c r="AB28" s="574"/>
      <c r="AC28" s="574"/>
      <c r="AD28" s="574"/>
      <c r="AE28" s="574"/>
      <c r="AF28" s="574"/>
      <c r="AG28" s="574"/>
      <c r="AH28" s="574"/>
    </row>
    <row r="29" spans="1:34" s="24" customFormat="1" ht="24.95" customHeight="1">
      <c r="A29" s="30"/>
      <c r="B29" s="30"/>
      <c r="C29" s="30"/>
      <c r="D29" s="30"/>
      <c r="E29" s="30"/>
      <c r="F29" s="30"/>
      <c r="G29" s="30"/>
      <c r="H29" s="103"/>
      <c r="I29" s="32"/>
      <c r="J29" s="23"/>
      <c r="K29" s="29"/>
      <c r="N29" s="29"/>
      <c r="O29" s="70"/>
      <c r="P29" s="70"/>
      <c r="Q29" s="70"/>
      <c r="R29" s="70"/>
      <c r="Z29" s="574"/>
      <c r="AA29" s="574"/>
      <c r="AB29" s="574"/>
      <c r="AC29" s="574"/>
      <c r="AD29" s="574"/>
      <c r="AE29" s="574"/>
      <c r="AF29" s="574"/>
      <c r="AG29" s="574"/>
      <c r="AH29" s="574"/>
    </row>
    <row r="30" spans="1:34" s="30" customFormat="1" ht="24.95" customHeight="1">
      <c r="A30" s="103"/>
      <c r="B30" s="100"/>
      <c r="C30" s="103"/>
      <c r="D30" s="103"/>
      <c r="E30" s="103"/>
      <c r="F30" s="103"/>
      <c r="G30" s="103"/>
      <c r="H30" s="103"/>
      <c r="I30" s="32"/>
      <c r="J30" s="31"/>
      <c r="K30" s="23"/>
      <c r="L30" s="24"/>
      <c r="M30" s="24"/>
      <c r="N30" s="23"/>
      <c r="O30" s="70"/>
      <c r="P30" s="70"/>
      <c r="Q30" s="29"/>
      <c r="R30" s="29"/>
      <c r="S30" s="24"/>
      <c r="T30" s="24"/>
      <c r="U30" s="24"/>
      <c r="V30" s="24"/>
      <c r="W30" s="24"/>
      <c r="X30" s="24"/>
    </row>
    <row r="31" spans="1:34" s="30" customFormat="1" ht="24.95" customHeight="1">
      <c r="A31" s="103"/>
      <c r="B31" s="100"/>
      <c r="C31" s="103"/>
      <c r="D31" s="103"/>
      <c r="E31" s="103"/>
      <c r="F31" s="103"/>
      <c r="G31" s="103"/>
      <c r="H31" s="103"/>
      <c r="I31" s="32"/>
      <c r="J31" s="31"/>
      <c r="K31" s="23"/>
      <c r="L31" s="993"/>
      <c r="M31" s="993"/>
      <c r="N31" s="23"/>
      <c r="O31" s="29"/>
      <c r="P31" s="29"/>
      <c r="Q31" s="24"/>
      <c r="R31" s="24"/>
      <c r="S31" s="24"/>
      <c r="T31" s="24"/>
      <c r="U31" s="24"/>
      <c r="V31" s="24"/>
      <c r="W31" s="24"/>
      <c r="X31" s="24"/>
    </row>
    <row r="32" spans="1:34" s="30" customFormat="1" ht="24.95" customHeight="1">
      <c r="A32" s="104"/>
      <c r="B32" s="104"/>
      <c r="C32" s="104"/>
      <c r="D32" s="104"/>
      <c r="E32" s="104"/>
      <c r="F32" s="104"/>
      <c r="G32" s="104"/>
      <c r="H32" s="104"/>
      <c r="I32" s="53"/>
      <c r="J32" s="31"/>
      <c r="K32" s="23"/>
      <c r="L32" s="562"/>
      <c r="M32" s="562"/>
      <c r="N32" s="23"/>
      <c r="O32" s="24"/>
      <c r="P32" s="24"/>
      <c r="Q32" s="24"/>
      <c r="R32" s="24"/>
      <c r="S32" s="24"/>
    </row>
    <row r="33" spans="1:24" s="30" customFormat="1" ht="26.25" customHeight="1">
      <c r="A33" s="53"/>
      <c r="B33" s="53"/>
      <c r="C33" s="53"/>
      <c r="D33" s="53"/>
      <c r="E33" s="53"/>
      <c r="F33" s="53"/>
      <c r="G33" s="53"/>
      <c r="H33" s="53"/>
      <c r="I33" s="53"/>
      <c r="J33" s="31"/>
      <c r="K33" s="23"/>
      <c r="L33" s="563"/>
      <c r="M33" s="562"/>
      <c r="N33" s="23"/>
      <c r="O33" s="24"/>
      <c r="P33" s="24"/>
      <c r="Q33" s="24"/>
      <c r="R33" s="24"/>
      <c r="S33" s="24"/>
    </row>
    <row r="34" spans="1:24" s="30" customFormat="1" ht="26.25" customHeight="1">
      <c r="A34" s="53"/>
      <c r="B34" s="53"/>
      <c r="C34" s="53"/>
      <c r="D34" s="53"/>
      <c r="E34" s="53"/>
      <c r="F34" s="53"/>
      <c r="G34" s="53"/>
      <c r="H34" s="53"/>
      <c r="I34" s="53"/>
      <c r="J34" s="31"/>
      <c r="K34" s="23"/>
      <c r="L34" s="562"/>
      <c r="M34" s="562"/>
      <c r="N34" s="23"/>
      <c r="O34" s="24"/>
      <c r="P34" s="24"/>
      <c r="Q34" s="24"/>
      <c r="R34" s="24"/>
    </row>
    <row r="35" spans="1:24" s="32" customFormat="1" ht="24.95" customHeight="1">
      <c r="A35" s="53"/>
      <c r="B35" s="53"/>
      <c r="C35" s="53"/>
      <c r="D35" s="53"/>
      <c r="E35" s="53"/>
      <c r="F35" s="53"/>
      <c r="G35" s="53"/>
      <c r="H35" s="53"/>
      <c r="I35" s="53"/>
      <c r="K35" s="31"/>
      <c r="L35" s="70"/>
      <c r="M35" s="562"/>
      <c r="N35" s="31"/>
      <c r="O35" s="24"/>
      <c r="P35" s="24"/>
      <c r="Q35" s="24"/>
      <c r="R35" s="24"/>
      <c r="S35" s="30"/>
      <c r="T35" s="30"/>
      <c r="U35" s="30"/>
      <c r="V35" s="30"/>
      <c r="W35" s="30"/>
      <c r="X35" s="30"/>
    </row>
    <row r="36" spans="1:24" s="32" customFormat="1" ht="24.95" customHeight="1">
      <c r="A36" s="53"/>
      <c r="B36" s="53"/>
      <c r="C36" s="53"/>
      <c r="D36" s="53"/>
      <c r="E36" s="53"/>
      <c r="F36" s="53"/>
      <c r="G36" s="53"/>
      <c r="H36" s="53"/>
      <c r="I36" s="53"/>
      <c r="K36" s="31"/>
      <c r="L36" s="70"/>
      <c r="M36" s="82"/>
      <c r="N36" s="31"/>
      <c r="O36" s="24"/>
      <c r="P36" s="24"/>
      <c r="Q36" s="30"/>
      <c r="R36" s="30"/>
      <c r="S36" s="30"/>
      <c r="T36" s="30"/>
      <c r="U36" s="30"/>
      <c r="V36" s="30"/>
      <c r="W36" s="30"/>
      <c r="X36" s="30"/>
    </row>
    <row r="37" spans="1:24" s="32" customFormat="1" ht="24.95" customHeight="1">
      <c r="A37" s="53"/>
      <c r="B37" s="53"/>
      <c r="C37" s="53"/>
      <c r="D37" s="53"/>
      <c r="E37" s="53"/>
      <c r="F37" s="53"/>
      <c r="G37" s="53"/>
      <c r="H37" s="53"/>
      <c r="I37" s="53"/>
      <c r="K37" s="31"/>
      <c r="L37" s="562"/>
      <c r="M37" s="82"/>
      <c r="N37" s="31"/>
      <c r="O37" s="30"/>
      <c r="P37" s="30"/>
      <c r="Q37" s="30"/>
      <c r="R37" s="30"/>
      <c r="S37" s="30"/>
    </row>
    <row r="38" spans="1:24" s="32" customFormat="1" ht="24.95" customHeight="1">
      <c r="A38" s="53"/>
      <c r="B38" s="53"/>
      <c r="C38" s="53"/>
      <c r="D38" s="53"/>
      <c r="E38" s="53"/>
      <c r="F38" s="53"/>
      <c r="G38" s="53"/>
      <c r="H38" s="53"/>
      <c r="I38" s="53"/>
      <c r="K38" s="31"/>
      <c r="L38" s="562"/>
      <c r="M38" s="82"/>
      <c r="N38" s="31"/>
      <c r="O38" s="30"/>
      <c r="P38" s="30"/>
      <c r="Q38" s="30"/>
      <c r="R38" s="30"/>
      <c r="S38" s="30"/>
    </row>
    <row r="39" spans="1:24" s="32" customFormat="1" ht="24.95" customHeight="1">
      <c r="A39" s="53"/>
      <c r="B39" s="53"/>
      <c r="C39" s="53"/>
      <c r="D39" s="53"/>
      <c r="E39" s="53"/>
      <c r="F39" s="53"/>
      <c r="G39" s="53"/>
      <c r="H39" s="53"/>
      <c r="I39" s="53"/>
      <c r="K39" s="31"/>
      <c r="L39" s="562"/>
      <c r="M39" s="82"/>
      <c r="N39" s="31"/>
      <c r="O39" s="30"/>
      <c r="P39" s="30"/>
      <c r="Q39" s="30"/>
      <c r="R39" s="30"/>
    </row>
    <row r="40" spans="1:24" s="32" customFormat="1" ht="24.95" customHeight="1">
      <c r="A40" s="53"/>
      <c r="B40" s="53"/>
      <c r="C40" s="53"/>
      <c r="D40" s="53"/>
      <c r="E40" s="53"/>
      <c r="F40" s="53"/>
      <c r="G40" s="53"/>
      <c r="H40" s="53"/>
      <c r="I40" s="53"/>
      <c r="L40" s="564"/>
      <c r="M40" s="564"/>
      <c r="O40" s="30"/>
      <c r="P40" s="30"/>
      <c r="Q40" s="30"/>
      <c r="R40" s="30"/>
    </row>
    <row r="41" spans="1:24" ht="26.1" customHeight="1">
      <c r="K41" s="32"/>
      <c r="L41" s="32"/>
      <c r="M41" s="32"/>
      <c r="N41" s="32"/>
      <c r="O41" s="30"/>
      <c r="P41" s="30"/>
      <c r="Q41" s="32"/>
      <c r="R41" s="32"/>
      <c r="S41" s="32"/>
      <c r="T41" s="32"/>
      <c r="U41" s="32"/>
      <c r="V41" s="32"/>
      <c r="W41" s="32"/>
      <c r="X41" s="32"/>
    </row>
    <row r="42" spans="1:24" ht="26.1" customHeight="1"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4" ht="26.1" customHeight="1">
      <c r="K43" s="32"/>
      <c r="L43" s="32"/>
      <c r="M43" s="32"/>
      <c r="N43" s="32"/>
      <c r="O43" s="32"/>
      <c r="P43" s="32"/>
      <c r="Q43" s="32"/>
      <c r="R43" s="32"/>
      <c r="S43" s="32"/>
    </row>
    <row r="44" spans="1:24" ht="26.1" customHeight="1">
      <c r="K44" s="32"/>
      <c r="L44" s="32"/>
      <c r="M44" s="32"/>
      <c r="N44" s="32"/>
      <c r="O44" s="32"/>
      <c r="P44" s="32"/>
      <c r="Q44" s="32"/>
      <c r="R44" s="32"/>
      <c r="S44" s="32"/>
    </row>
    <row r="45" spans="1:24" ht="26.1" customHeight="1">
      <c r="K45" s="32"/>
      <c r="L45" s="32"/>
      <c r="M45" s="32"/>
      <c r="N45" s="32"/>
      <c r="O45" s="32"/>
      <c r="P45" s="32"/>
      <c r="Q45" s="32"/>
      <c r="R45" s="32"/>
    </row>
    <row r="46" spans="1:24" ht="26.1" customHeight="1">
      <c r="O46" s="32"/>
      <c r="P46" s="32"/>
      <c r="Q46" s="32"/>
      <c r="R46" s="32"/>
    </row>
    <row r="47" spans="1:24" ht="26.1" customHeight="1">
      <c r="O47" s="32"/>
      <c r="P47" s="32"/>
    </row>
    <row r="48" spans="1:24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</sheetData>
  <customSheetViews>
    <customSheetView guid="{3C925556-11AB-420F-9574-511192FFD696}" showPageBreaks="1" showGridLines="0" printArea="1" view="pageBreakPreview">
      <selection activeCell="D30" sqref="D30"/>
      <rowBreaks count="1" manualBreakCount="1">
        <brk id="21" max="14" man="1"/>
      </rowBreaks>
      <colBreaks count="1" manualBreakCount="1">
        <brk id="9" max="59" man="1"/>
      </colBreaks>
      <pageMargins left="0.75" right="0.28999999999999998" top="1" bottom="1" header="0.5" footer="0.5"/>
      <pageSetup paperSize="9" fitToHeight="0" orientation="portrait" r:id="rId1"/>
      <headerFooter alignWithMargins="0"/>
    </customSheetView>
  </customSheetViews>
  <mergeCells count="66">
    <mergeCell ref="AE22:AF22"/>
    <mergeCell ref="AE20:AF20"/>
    <mergeCell ref="Z21:Z25"/>
    <mergeCell ref="AA21:AA25"/>
    <mergeCell ref="AE21:AF21"/>
    <mergeCell ref="AG20:AH20"/>
    <mergeCell ref="AG26:AH26"/>
    <mergeCell ref="Z16:AE16"/>
    <mergeCell ref="Z18:AH18"/>
    <mergeCell ref="AG22:AH22"/>
    <mergeCell ref="AE23:AF23"/>
    <mergeCell ref="AG23:AH23"/>
    <mergeCell ref="AE24:AF24"/>
    <mergeCell ref="AG24:AH24"/>
    <mergeCell ref="AG19:AH19"/>
    <mergeCell ref="AA19:AD19"/>
    <mergeCell ref="AE19:AF19"/>
    <mergeCell ref="AA26:AD26"/>
    <mergeCell ref="AE26:AF26"/>
    <mergeCell ref="AA20:AD20"/>
    <mergeCell ref="AG21:AH21"/>
    <mergeCell ref="A2:I2"/>
    <mergeCell ref="J2:O2"/>
    <mergeCell ref="K4:N4"/>
    <mergeCell ref="Q10:Q11"/>
    <mergeCell ref="Q13:T13"/>
    <mergeCell ref="K10:K12"/>
    <mergeCell ref="Q12:T12"/>
    <mergeCell ref="K13:K15"/>
    <mergeCell ref="Q14:X14"/>
    <mergeCell ref="R15:U15"/>
    <mergeCell ref="V15:W15"/>
    <mergeCell ref="A13:I13"/>
    <mergeCell ref="K7:K9"/>
    <mergeCell ref="Z13:Z15"/>
    <mergeCell ref="L31:M31"/>
    <mergeCell ref="P2:Y2"/>
    <mergeCell ref="Q6:Q9"/>
    <mergeCell ref="Q4:X4"/>
    <mergeCell ref="R24:U24"/>
    <mergeCell ref="V24:W24"/>
    <mergeCell ref="Z4:AH4"/>
    <mergeCell ref="Z5:Z6"/>
    <mergeCell ref="AA5:AA6"/>
    <mergeCell ref="AB5:AB6"/>
    <mergeCell ref="AC5:AF5"/>
    <mergeCell ref="AG5:AG6"/>
    <mergeCell ref="AH5:AH6"/>
    <mergeCell ref="AE25:AF25"/>
    <mergeCell ref="AG25:AH25"/>
    <mergeCell ref="Q17:Q18"/>
    <mergeCell ref="R17:R18"/>
    <mergeCell ref="A26:H26"/>
    <mergeCell ref="A18:H18"/>
    <mergeCell ref="V19:W19"/>
    <mergeCell ref="R19:U19"/>
    <mergeCell ref="K16:K17"/>
    <mergeCell ref="K18:K20"/>
    <mergeCell ref="R16:U16"/>
    <mergeCell ref="V16:W16"/>
    <mergeCell ref="V18:W18"/>
    <mergeCell ref="V17:W17"/>
    <mergeCell ref="R20:U20"/>
    <mergeCell ref="V20:W20"/>
    <mergeCell ref="R21:U21"/>
    <mergeCell ref="V21:W21"/>
  </mergeCells>
  <phoneticPr fontId="4" type="noConversion"/>
  <dataValidations count="8">
    <dataValidation allowBlank="1" showInputMessage="1" sqref="AD21:AE25 U17:V18 M13 M10 U22:V23" xr:uid="{00000000-0002-0000-0100-000000000000}"/>
    <dataValidation type="list" showInputMessage="1" sqref="M17" xr:uid="{00000000-0002-0000-0100-000001000000}">
      <formula1>"300세대이상 800세대미만"</formula1>
    </dataValidation>
    <dataValidation type="list" allowBlank="1" showInputMessage="1" showErrorMessage="1" sqref="M21" xr:uid="{00000000-0002-0000-0100-000002000000}">
      <formula1>"허용, 불허"</formula1>
    </dataValidation>
    <dataValidation type="list" allowBlank="1" showInputMessage="1" sqref="AE20 V16" xr:uid="{00000000-0002-0000-0100-000003000000}">
      <formula1>"단독, 공동수급, 분담이행"</formula1>
    </dataValidation>
    <dataValidation type="list" allowBlank="1" showInputMessage="1" sqref="AF7:AF15 W13" xr:uid="{00000000-0002-0000-0100-000004000000}">
      <formula1>"특급이상, 고급이상, 중급이상, 초급이상"</formula1>
    </dataValidation>
    <dataValidation type="list" allowBlank="1" showInputMessage="1" showErrorMessage="1" sqref="U6:U11" xr:uid="{00000000-0002-0000-0100-000005000000}">
      <formula1>"특급, 고급, 중급, 초급"</formula1>
    </dataValidation>
    <dataValidation type="list" allowBlank="1" showInputMessage="1" sqref="W6:W11" xr:uid="{00000000-0002-0000-0100-000006000000}">
      <formula1>"배치, 미배치"</formula1>
    </dataValidation>
    <dataValidation type="list" allowBlank="1" showInputMessage="1" showErrorMessage="1" sqref="X6:X11" xr:uid="{00000000-0002-0000-0100-000007000000}">
      <formula1>"평가,미평가"</formula1>
    </dataValidation>
  </dataValidations>
  <pageMargins left="0.75" right="0.28999999999999998" top="1" bottom="1" header="0.5" footer="0.5"/>
  <pageSetup paperSize="9" scale="90" fitToHeight="0" orientation="portrait" r:id="rId2"/>
  <headerFooter alignWithMargins="0"/>
  <colBreaks count="2" manualBreakCount="2">
    <brk id="9" max="24" man="1"/>
    <brk id="15" max="24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B1:J12"/>
  <sheetViews>
    <sheetView showGridLines="0" view="pageBreakPreview" zoomScaleNormal="100" zoomScaleSheetLayoutView="100" workbookViewId="0"/>
  </sheetViews>
  <sheetFormatPr defaultRowHeight="16.5"/>
  <cols>
    <col min="1" max="1" width="1.77734375" style="189" customWidth="1"/>
    <col min="2" max="2" width="13.77734375" style="189" customWidth="1"/>
    <col min="3" max="3" width="10.109375" style="189" customWidth="1"/>
    <col min="4" max="5" width="8.88671875" style="189"/>
    <col min="6" max="6" width="15.6640625" style="189" customWidth="1"/>
    <col min="7" max="7" width="11.5546875" style="189" customWidth="1"/>
    <col min="8" max="8" width="7.77734375" style="189" customWidth="1"/>
    <col min="9" max="9" width="1.77734375" style="189" customWidth="1"/>
    <col min="10" max="16384" width="8.88671875" style="189"/>
  </cols>
  <sheetData>
    <row r="1" spans="2:10" ht="17.25" thickBot="1"/>
    <row r="2" spans="2:10" ht="37.5">
      <c r="B2" s="1034" t="s">
        <v>227</v>
      </c>
      <c r="C2" s="1035"/>
      <c r="D2" s="1035"/>
      <c r="E2" s="1035"/>
      <c r="F2" s="1035"/>
      <c r="G2" s="1035"/>
      <c r="H2" s="1036"/>
      <c r="J2" s="323" t="s">
        <v>258</v>
      </c>
    </row>
    <row r="3" spans="2:10" ht="24.75" thickBot="1">
      <c r="B3" s="1037">
        <f>작성요령!M6</f>
        <v>0</v>
      </c>
      <c r="C3" s="1038"/>
      <c r="D3" s="1038"/>
      <c r="E3" s="1038"/>
      <c r="F3" s="1038"/>
      <c r="G3" s="1038"/>
      <c r="H3" s="1039"/>
      <c r="J3" s="324" t="s">
        <v>259</v>
      </c>
    </row>
    <row r="4" spans="2:10">
      <c r="B4" s="190"/>
      <c r="C4" s="190"/>
      <c r="D4" s="190"/>
      <c r="E4" s="190"/>
      <c r="F4" s="190"/>
      <c r="G4" s="190"/>
      <c r="H4" s="190"/>
    </row>
    <row r="5" spans="2:10" ht="20.25">
      <c r="B5" s="191" t="s">
        <v>228</v>
      </c>
      <c r="C5" s="302" t="str">
        <f>작성요령!V17</f>
        <v>AAAA엔지니어링</v>
      </c>
      <c r="D5" s="303"/>
      <c r="E5" s="191"/>
      <c r="F5" s="191"/>
      <c r="G5" s="191"/>
      <c r="H5" s="191"/>
    </row>
    <row r="6" spans="2:10" ht="10.5" customHeight="1" thickBot="1">
      <c r="B6" s="191"/>
      <c r="C6" s="190"/>
      <c r="D6" s="190"/>
      <c r="E6" s="190"/>
      <c r="F6" s="190"/>
      <c r="G6" s="190"/>
      <c r="H6" s="190"/>
    </row>
    <row r="7" spans="2:10" ht="20.100000000000001" customHeight="1" thickBot="1">
      <c r="B7" s="1032" t="s">
        <v>108</v>
      </c>
      <c r="C7" s="1033"/>
      <c r="D7" s="850" t="s">
        <v>224</v>
      </c>
      <c r="E7" s="850" t="s">
        <v>225</v>
      </c>
      <c r="F7" s="227" t="s">
        <v>159</v>
      </c>
      <c r="G7" s="850" t="s">
        <v>226</v>
      </c>
      <c r="H7" s="198" t="s">
        <v>76</v>
      </c>
    </row>
    <row r="8" spans="2:10" ht="20.100000000000001" customHeight="1" thickTop="1">
      <c r="B8" s="195" t="str">
        <f>작성요령!S6&amp;"감리원"</f>
        <v>책임감리원</v>
      </c>
      <c r="C8" s="506" t="str">
        <f>IF(작성요령!R6="","",작성요령!R6)</f>
        <v>전기</v>
      </c>
      <c r="D8" s="196" t="s">
        <v>211</v>
      </c>
      <c r="E8" s="196"/>
      <c r="F8" s="870" t="str">
        <f>$C$5</f>
        <v>AAAA엔지니어링</v>
      </c>
      <c r="G8" s="900"/>
      <c r="H8" s="197"/>
    </row>
    <row r="9" spans="2:10" ht="20.100000000000001" customHeight="1">
      <c r="B9" s="195" t="str">
        <f>작성요령!S7&amp;"감리원"</f>
        <v>보조감리원</v>
      </c>
      <c r="C9" s="506" t="str">
        <f>IF(작성요령!R7="","",작성요령!R7)</f>
        <v>전기1</v>
      </c>
      <c r="D9" s="888" t="s">
        <v>687</v>
      </c>
      <c r="E9" s="193"/>
      <c r="F9" s="870"/>
      <c r="G9" s="890" t="s">
        <v>670</v>
      </c>
      <c r="H9" s="194"/>
      <c r="J9" s="324" t="s">
        <v>684</v>
      </c>
    </row>
    <row r="10" spans="2:10" ht="20.100000000000001" customHeight="1">
      <c r="B10" s="195" t="str">
        <f>작성요령!S8&amp;"감리원"</f>
        <v>보조감리원</v>
      </c>
      <c r="C10" s="506" t="str">
        <f>IF(작성요령!R8="","",작성요령!R8)</f>
        <v>전기2</v>
      </c>
      <c r="D10" s="888" t="s">
        <v>687</v>
      </c>
      <c r="E10" s="193"/>
      <c r="F10" s="193"/>
      <c r="G10" s="890" t="s">
        <v>670</v>
      </c>
      <c r="H10" s="889"/>
    </row>
    <row r="11" spans="2:10" ht="20.100000000000001" customHeight="1" thickBot="1">
      <c r="B11" s="864" t="str">
        <f>작성요령!S10&amp;"감리원"</f>
        <v>기술지원감리원</v>
      </c>
      <c r="C11" s="865" t="str">
        <f>IF(작성요령!R10="","",작성요령!R10)</f>
        <v>전기3</v>
      </c>
      <c r="D11" s="866" t="s">
        <v>212</v>
      </c>
      <c r="E11" s="867"/>
      <c r="F11" s="867" t="str">
        <f>$C$5</f>
        <v>AAAA엔지니어링</v>
      </c>
      <c r="G11" s="868"/>
      <c r="H11" s="869"/>
    </row>
    <row r="12" spans="2:10">
      <c r="B12" s="192"/>
      <c r="C12" s="192"/>
      <c r="D12" s="192"/>
      <c r="E12" s="192"/>
      <c r="F12" s="192"/>
      <c r="G12" s="192"/>
      <c r="H12" s="192"/>
    </row>
  </sheetData>
  <mergeCells count="3">
    <mergeCell ref="B7:C7"/>
    <mergeCell ref="B2:H2"/>
    <mergeCell ref="B3:H3"/>
  </mergeCells>
  <phoneticPr fontId="4" type="noConversion"/>
  <pageMargins left="0.7" right="0.7" top="0.75" bottom="0.75" header="0.3" footer="0.3"/>
  <pageSetup paperSize="9" scale="9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Q40"/>
  <sheetViews>
    <sheetView showGridLines="0" view="pageBreakPreview" topLeftCell="A10" zoomScaleNormal="100" workbookViewId="0"/>
  </sheetViews>
  <sheetFormatPr defaultRowHeight="13.5"/>
  <cols>
    <col min="1" max="1" width="7.88671875" style="86" customWidth="1"/>
    <col min="2" max="7" width="8.88671875" style="86"/>
    <col min="8" max="8" width="11.109375" style="86" customWidth="1"/>
    <col min="9" max="16384" width="8.88671875" style="86"/>
  </cols>
  <sheetData>
    <row r="1" spans="1:17" ht="18" customHeight="1">
      <c r="A1" s="88" t="s">
        <v>185</v>
      </c>
      <c r="J1" s="1040"/>
      <c r="K1" s="1040"/>
      <c r="L1" s="1040"/>
      <c r="M1" s="1040"/>
      <c r="N1" s="1040"/>
      <c r="O1" s="1040"/>
      <c r="P1" s="1040"/>
      <c r="Q1" s="1040"/>
    </row>
    <row r="2" spans="1:17" ht="31.5" customHeight="1">
      <c r="J2" s="1040"/>
      <c r="K2" s="1040"/>
      <c r="L2" s="1040"/>
      <c r="M2" s="1040"/>
      <c r="N2" s="1040"/>
      <c r="O2" s="1040"/>
      <c r="P2" s="1040"/>
      <c r="Q2" s="1040"/>
    </row>
    <row r="3" spans="1:17" ht="14.25">
      <c r="A3" s="1044" t="s">
        <v>124</v>
      </c>
      <c r="B3" s="1044"/>
      <c r="C3" s="1044"/>
      <c r="D3" s="1044"/>
      <c r="E3" s="1044"/>
      <c r="F3" s="1044"/>
      <c r="G3" s="1044"/>
      <c r="H3" s="1044"/>
      <c r="J3" s="1040"/>
      <c r="K3" s="1040"/>
      <c r="L3" s="1040"/>
      <c r="M3" s="1040"/>
      <c r="N3" s="1040"/>
      <c r="O3" s="1040"/>
      <c r="P3" s="1040"/>
      <c r="Q3" s="1040"/>
    </row>
    <row r="4" spans="1:17" ht="14.25" customHeight="1">
      <c r="A4" s="1044"/>
      <c r="B4" s="1044"/>
      <c r="C4" s="1044"/>
      <c r="D4" s="1044"/>
      <c r="E4" s="1044"/>
      <c r="F4" s="1044"/>
      <c r="G4" s="1044"/>
      <c r="H4" s="1044"/>
    </row>
    <row r="5" spans="1:17" ht="31.5" customHeight="1">
      <c r="J5" s="1046"/>
      <c r="K5" s="1046"/>
      <c r="L5" s="1046"/>
      <c r="M5" s="1046"/>
      <c r="N5" s="1046"/>
      <c r="O5" s="1046"/>
      <c r="P5" s="1046"/>
      <c r="Q5" s="1046"/>
    </row>
    <row r="6" spans="1:17" s="87" customFormat="1" ht="20.100000000000001" customHeight="1">
      <c r="A6" s="87" t="s">
        <v>16</v>
      </c>
    </row>
    <row r="7" spans="1:17" s="88" customFormat="1" ht="20.100000000000001" customHeight="1">
      <c r="A7" s="88" t="s">
        <v>186</v>
      </c>
    </row>
    <row r="8" spans="1:17" s="88" customFormat="1" ht="20.100000000000001" customHeight="1">
      <c r="A8" s="88" t="s">
        <v>289</v>
      </c>
    </row>
    <row r="9" spans="1:17" s="88" customFormat="1" ht="20.100000000000001" customHeight="1"/>
    <row r="10" spans="1:17" s="88" customFormat="1" ht="20.100000000000001" customHeight="1">
      <c r="B10" s="89" t="s">
        <v>187</v>
      </c>
    </row>
    <row r="11" spans="1:17" s="88" customFormat="1" ht="20.100000000000001" customHeight="1"/>
    <row r="12" spans="1:17" ht="20.100000000000001" customHeight="1">
      <c r="A12" s="1041" t="str">
        <f>"용역명 : "&amp;작성요령!M6</f>
        <v xml:space="preserve">용역명 : </v>
      </c>
      <c r="B12" s="1041"/>
      <c r="C12" s="1041"/>
      <c r="D12" s="1041"/>
      <c r="E12" s="1041"/>
      <c r="F12" s="1041"/>
      <c r="G12" s="1041"/>
      <c r="H12" s="1041"/>
    </row>
    <row r="13" spans="1:17" ht="20.100000000000001" customHeight="1"/>
    <row r="14" spans="1:17" ht="20.100000000000001" customHeight="1"/>
    <row r="15" spans="1:17" s="88" customFormat="1" ht="20.100000000000001" customHeight="1">
      <c r="A15" s="88" t="s">
        <v>143</v>
      </c>
    </row>
    <row r="16" spans="1:17" s="88" customFormat="1" ht="20.100000000000001" customHeight="1">
      <c r="A16" s="89" t="s">
        <v>188</v>
      </c>
    </row>
    <row r="17" spans="1:9" s="88" customFormat="1" ht="20.100000000000001" customHeight="1">
      <c r="A17" s="88" t="s">
        <v>189</v>
      </c>
    </row>
    <row r="18" spans="1:9" s="88" customFormat="1" ht="20.100000000000001" customHeight="1">
      <c r="A18" s="88" t="s">
        <v>190</v>
      </c>
    </row>
    <row r="19" spans="1:9" s="88" customFormat="1" ht="20.100000000000001" customHeight="1">
      <c r="A19" s="88" t="s">
        <v>220</v>
      </c>
    </row>
    <row r="20" spans="1:9" s="88" customFormat="1" ht="20.100000000000001" customHeight="1"/>
    <row r="21" spans="1:9" s="88" customFormat="1" ht="20.100000000000001" customHeight="1"/>
    <row r="22" spans="1:9" ht="20.100000000000001" customHeight="1">
      <c r="F22" s="1045" t="s">
        <v>290</v>
      </c>
      <c r="G22" s="1045"/>
    </row>
    <row r="23" spans="1:9" ht="20.100000000000001" customHeight="1"/>
    <row r="24" spans="1:9" ht="20.100000000000001" customHeight="1">
      <c r="C24" s="87" t="s">
        <v>138</v>
      </c>
      <c r="D24" s="304" t="str">
        <f>작성요령!V17</f>
        <v>AAAA엔지니어링</v>
      </c>
      <c r="E24" s="87"/>
      <c r="F24" s="87" t="s">
        <v>191</v>
      </c>
      <c r="H24" s="92" t="s">
        <v>192</v>
      </c>
    </row>
    <row r="25" spans="1:9" ht="20.100000000000001" customHeight="1">
      <c r="C25" s="87" t="s">
        <v>254</v>
      </c>
      <c r="D25" s="305"/>
      <c r="E25" s="87"/>
      <c r="F25" s="87" t="s">
        <v>139</v>
      </c>
    </row>
    <row r="26" spans="1:9" ht="20.100000000000001" customHeight="1">
      <c r="C26" s="87" t="s">
        <v>140</v>
      </c>
      <c r="D26" s="305" t="s">
        <v>700</v>
      </c>
      <c r="E26" s="87"/>
      <c r="F26" s="918" t="s">
        <v>699</v>
      </c>
      <c r="G26" s="90"/>
      <c r="I26" s="86" t="s">
        <v>139</v>
      </c>
    </row>
    <row r="27" spans="1:9" ht="20.100000000000001" customHeight="1">
      <c r="C27" s="87" t="s">
        <v>141</v>
      </c>
      <c r="D27" s="305"/>
      <c r="E27" s="87"/>
      <c r="F27" s="88" t="s">
        <v>691</v>
      </c>
    </row>
    <row r="28" spans="1:9" ht="20.100000000000001" customHeight="1">
      <c r="F28" s="88" t="s">
        <v>193</v>
      </c>
      <c r="G28" s="88"/>
      <c r="H28" s="91" t="s">
        <v>192</v>
      </c>
    </row>
    <row r="29" spans="1:9">
      <c r="F29" s="88" t="s">
        <v>194</v>
      </c>
      <c r="G29" s="88"/>
      <c r="H29" s="91" t="s">
        <v>192</v>
      </c>
    </row>
    <row r="30" spans="1:9">
      <c r="F30" s="88"/>
      <c r="G30" s="88"/>
      <c r="H30" s="91"/>
    </row>
    <row r="31" spans="1:9">
      <c r="F31" s="88"/>
      <c r="G31" s="88"/>
      <c r="H31" s="91"/>
    </row>
    <row r="32" spans="1:9" ht="22.5">
      <c r="A32" s="1047" t="s">
        <v>291</v>
      </c>
      <c r="B32" s="1047"/>
      <c r="C32" s="1047"/>
      <c r="D32" s="1047"/>
      <c r="E32" s="1047"/>
      <c r="F32" s="1047"/>
      <c r="G32" s="1047"/>
      <c r="H32" s="1047"/>
    </row>
    <row r="33" spans="1:11" ht="19.5" customHeight="1">
      <c r="I33" s="93"/>
      <c r="J33" s="93"/>
      <c r="K33" s="93"/>
    </row>
    <row r="34" spans="1:11" ht="18.75" customHeight="1">
      <c r="I34" s="93"/>
      <c r="J34" s="93"/>
      <c r="K34" s="93"/>
    </row>
    <row r="35" spans="1:11" ht="19.5" customHeight="1">
      <c r="I35" s="93"/>
      <c r="J35" s="93"/>
      <c r="K35" s="93"/>
    </row>
    <row r="36" spans="1:11" ht="18.75" customHeight="1"/>
    <row r="37" spans="1:11" ht="39" customHeight="1">
      <c r="I37" s="87"/>
    </row>
    <row r="38" spans="1:11" ht="45" customHeight="1">
      <c r="A38" s="1042"/>
      <c r="B38" s="1043"/>
      <c r="C38" s="1043"/>
      <c r="D38" s="1043"/>
      <c r="E38" s="1043"/>
      <c r="F38" s="1043"/>
      <c r="G38" s="1043"/>
      <c r="H38" s="1043"/>
      <c r="I38" s="1043"/>
    </row>
    <row r="39" spans="1:11" ht="50.25" customHeight="1">
      <c r="A39" s="1042"/>
      <c r="B39" s="1043"/>
      <c r="C39" s="1043"/>
      <c r="D39" s="1043"/>
      <c r="E39" s="1043"/>
      <c r="F39" s="1043"/>
      <c r="G39" s="1043"/>
      <c r="H39" s="1043"/>
      <c r="I39" s="1043"/>
    </row>
    <row r="40" spans="1:11" ht="48.75" customHeight="1">
      <c r="A40" s="1042"/>
      <c r="B40" s="1043"/>
      <c r="C40" s="1043"/>
      <c r="D40" s="1043"/>
      <c r="E40" s="1043"/>
      <c r="F40" s="1043"/>
      <c r="G40" s="1043"/>
      <c r="H40" s="1043"/>
      <c r="I40" s="1043"/>
    </row>
  </sheetData>
  <customSheetViews>
    <customSheetView guid="{3C925556-11AB-420F-9574-511192FFD696}" showPageBreaks="1" showGridLines="0" printArea="1" view="pageBreakPreview">
      <selection activeCell="K36" sqref="K36"/>
      <rowBreaks count="1" manualBreakCount="1">
        <brk id="30" max="7" man="1"/>
      </rowBreaks>
      <pageMargins left="0.75" right="0.75" top="1" bottom="1" header="0.5" footer="0.5"/>
      <pageSetup paperSize="9" orientation="portrait" r:id="rId1"/>
      <headerFooter alignWithMargins="0"/>
    </customSheetView>
  </customSheetViews>
  <mergeCells count="11">
    <mergeCell ref="J1:Q1"/>
    <mergeCell ref="J2:Q2"/>
    <mergeCell ref="A12:H12"/>
    <mergeCell ref="A39:I39"/>
    <mergeCell ref="A40:I40"/>
    <mergeCell ref="A38:I38"/>
    <mergeCell ref="J3:Q3"/>
    <mergeCell ref="A3:H4"/>
    <mergeCell ref="F22:G22"/>
    <mergeCell ref="J5:Q5"/>
    <mergeCell ref="A32:H32"/>
  </mergeCells>
  <phoneticPr fontId="4" type="noConversion"/>
  <pageMargins left="0.75" right="0.75" top="1" bottom="1" header="0.5" footer="0.5"/>
  <pageSetup paperSize="9" fitToHeight="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T60"/>
  <sheetViews>
    <sheetView showGridLines="0" view="pageBreakPreview" zoomScaleNormal="100" zoomScaleSheetLayoutView="100" workbookViewId="0">
      <pane xSplit="2" ySplit="3" topLeftCell="C16" activePane="bottomRight" state="frozen"/>
      <selection pane="topRight"/>
      <selection pane="bottomLeft"/>
      <selection pane="bottomRight"/>
    </sheetView>
  </sheetViews>
  <sheetFormatPr defaultRowHeight="13.5"/>
  <cols>
    <col min="1" max="1" width="2.33203125" style="280" customWidth="1"/>
    <col min="2" max="2" width="1.77734375" style="280" customWidth="1"/>
    <col min="3" max="4" width="10.44140625" style="280" customWidth="1"/>
    <col min="5" max="5" width="6.44140625" style="280" customWidth="1"/>
    <col min="6" max="6" width="7.5546875" style="280" bestFit="1" customWidth="1"/>
    <col min="7" max="7" width="10.6640625" style="280" customWidth="1"/>
    <col min="8" max="8" width="6.77734375" style="280" customWidth="1"/>
    <col min="9" max="9" width="15.77734375" style="280" customWidth="1"/>
    <col min="10" max="10" width="10.88671875" style="290" customWidth="1"/>
    <col min="11" max="11" width="8" style="282" customWidth="1"/>
    <col min="12" max="12" width="10.77734375" style="280" customWidth="1"/>
    <col min="13" max="13" width="10.77734375" style="282" customWidth="1"/>
    <col min="14" max="14" width="11.33203125" style="280" customWidth="1"/>
    <col min="15" max="15" width="1.77734375" style="280" customWidth="1"/>
    <col min="16" max="17" width="8.88671875" style="280"/>
    <col min="18" max="18" width="11" style="280" customWidth="1"/>
    <col min="19" max="16384" width="8.88671875" style="280"/>
  </cols>
  <sheetData>
    <row r="1" spans="3:20" ht="39" customHeight="1">
      <c r="C1" s="1073" t="s">
        <v>693</v>
      </c>
      <c r="D1" s="1073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279"/>
      <c r="P1" s="1050" t="s">
        <v>685</v>
      </c>
      <c r="Q1" s="1050"/>
      <c r="R1" s="1050"/>
      <c r="S1" s="1050"/>
      <c r="T1" s="1050"/>
    </row>
    <row r="2" spans="3:20" ht="22.5" customHeight="1" thickBot="1">
      <c r="C2" s="913" t="str">
        <f>참여신청서!D24</f>
        <v>AAAA엔지니어링</v>
      </c>
      <c r="D2" s="912"/>
      <c r="F2" s="1049">
        <f>작성요령!M6</f>
        <v>0</v>
      </c>
      <c r="G2" s="1049"/>
      <c r="H2" s="1049"/>
      <c r="I2" s="1049"/>
      <c r="J2" s="1049"/>
      <c r="K2" s="1049"/>
      <c r="L2" s="1049"/>
      <c r="M2" s="1049"/>
      <c r="N2" s="1049"/>
      <c r="P2" s="1050"/>
      <c r="Q2" s="1050"/>
      <c r="R2" s="1050"/>
      <c r="S2" s="1050"/>
      <c r="T2" s="1050"/>
    </row>
    <row r="3" spans="3:20" ht="46.5" customHeight="1" thickBot="1">
      <c r="C3" s="538" t="s">
        <v>294</v>
      </c>
      <c r="D3" s="314" t="s">
        <v>75</v>
      </c>
      <c r="E3" s="1097" t="s">
        <v>293</v>
      </c>
      <c r="F3" s="1098"/>
      <c r="G3" s="1098"/>
      <c r="H3" s="1098"/>
      <c r="I3" s="1099"/>
      <c r="J3" s="369" t="s">
        <v>250</v>
      </c>
      <c r="K3" s="314" t="s">
        <v>75</v>
      </c>
      <c r="L3" s="350" t="s">
        <v>251</v>
      </c>
      <c r="M3" s="350" t="s">
        <v>252</v>
      </c>
      <c r="N3" s="539" t="s">
        <v>70</v>
      </c>
      <c r="P3" s="1050"/>
      <c r="Q3" s="1050"/>
      <c r="R3" s="1050"/>
      <c r="S3" s="1050"/>
      <c r="T3" s="1050"/>
    </row>
    <row r="4" spans="3:20" ht="24.95" customHeight="1" thickTop="1" thickBot="1">
      <c r="C4" s="1118" t="s">
        <v>295</v>
      </c>
      <c r="D4" s="1142">
        <v>50</v>
      </c>
      <c r="E4" s="1122" t="s">
        <v>418</v>
      </c>
      <c r="F4" s="1123"/>
      <c r="G4" s="1086" t="s">
        <v>18</v>
      </c>
      <c r="H4" s="1087"/>
      <c r="I4" s="1088"/>
      <c r="J4" s="639" t="str">
        <f>참여감리원!H7</f>
        <v>특급</v>
      </c>
      <c r="K4" s="640">
        <v>0</v>
      </c>
      <c r="L4" s="641" t="str">
        <f>참여감리원!L7</f>
        <v>적정</v>
      </c>
      <c r="M4" s="759">
        <f>참여감리원!N7</f>
        <v>0</v>
      </c>
      <c r="N4" s="1075" t="s">
        <v>297</v>
      </c>
    </row>
    <row r="5" spans="3:20" ht="30.75" customHeight="1" thickTop="1" thickBot="1">
      <c r="C5" s="1089"/>
      <c r="D5" s="1142"/>
      <c r="E5" s="1124" t="str">
        <f>"("&amp;('참여감리원 현황'!D8)&amp;")"</f>
        <v>(이순신)</v>
      </c>
      <c r="F5" s="1125"/>
      <c r="G5" s="365" t="s">
        <v>292</v>
      </c>
      <c r="H5" s="1096" t="s">
        <v>365</v>
      </c>
      <c r="I5" s="1096"/>
      <c r="J5" s="298">
        <f>참여감리원!J10</f>
        <v>4.59</v>
      </c>
      <c r="K5" s="284">
        <v>25</v>
      </c>
      <c r="L5" s="285">
        <f>참여감리원!L10</f>
        <v>16</v>
      </c>
      <c r="M5" s="760">
        <f>참여감리원!N10</f>
        <v>0</v>
      </c>
      <c r="N5" s="1054"/>
    </row>
    <row r="6" spans="3:20" ht="15" customHeight="1" thickTop="1" thickBot="1">
      <c r="C6" s="1089"/>
      <c r="D6" s="1142"/>
      <c r="E6" s="616"/>
      <c r="F6" s="617"/>
      <c r="G6" s="1100" t="s">
        <v>74</v>
      </c>
      <c r="H6" s="1101"/>
      <c r="I6" s="1101"/>
      <c r="J6" s="1102"/>
      <c r="K6" s="527">
        <f>K5</f>
        <v>25</v>
      </c>
      <c r="L6" s="300">
        <f>L5</f>
        <v>16</v>
      </c>
      <c r="M6" s="761">
        <f>M5</f>
        <v>0</v>
      </c>
      <c r="N6" s="1054"/>
    </row>
    <row r="7" spans="3:20" ht="24.95" customHeight="1" thickTop="1" thickBot="1">
      <c r="C7" s="1089"/>
      <c r="D7" s="1142"/>
      <c r="E7" s="1128" t="s">
        <v>436</v>
      </c>
      <c r="F7" s="1129"/>
      <c r="G7" s="1126" t="s">
        <v>11</v>
      </c>
      <c r="H7" s="429" t="str">
        <f>'참여감리원 현황'!C9</f>
        <v>전기1</v>
      </c>
      <c r="I7" s="318" t="str">
        <f>'참여감리원 현황'!D9</f>
        <v>-</v>
      </c>
      <c r="J7" s="299" t="str">
        <f>참여감리원!H18</f>
        <v>중급</v>
      </c>
      <c r="K7" s="366">
        <v>0</v>
      </c>
      <c r="L7" s="286" t="str">
        <f>참여감리원!L18</f>
        <v>미평가</v>
      </c>
      <c r="M7" s="762">
        <f>참여감리원!N18</f>
        <v>0</v>
      </c>
      <c r="N7" s="1054"/>
    </row>
    <row r="8" spans="3:20" ht="24.95" customHeight="1" thickTop="1" thickBot="1">
      <c r="C8" s="1089"/>
      <c r="D8" s="1142"/>
      <c r="E8" s="1130"/>
      <c r="F8" s="1131"/>
      <c r="G8" s="1127"/>
      <c r="H8" s="429" t="str">
        <f>'참여감리원 현황'!C10</f>
        <v>전기2</v>
      </c>
      <c r="I8" s="318" t="str">
        <f>'참여감리원 현황'!D10</f>
        <v>-</v>
      </c>
      <c r="J8" s="299" t="str">
        <f>참여감리원!H19</f>
        <v>특급</v>
      </c>
      <c r="K8" s="366" t="s">
        <v>0</v>
      </c>
      <c r="L8" s="778" t="str">
        <f>참여감리원!L19</f>
        <v>미평가</v>
      </c>
      <c r="M8" s="779">
        <f>참여감리원!N19</f>
        <v>0</v>
      </c>
      <c r="N8" s="1054"/>
    </row>
    <row r="9" spans="3:20" ht="24.95" customHeight="1" thickTop="1" thickBot="1">
      <c r="C9" s="1089"/>
      <c r="D9" s="1142"/>
      <c r="E9" s="1130"/>
      <c r="F9" s="1131"/>
      <c r="G9" s="1126" t="s">
        <v>292</v>
      </c>
      <c r="H9" s="429" t="str">
        <f>'참여감리원 현황'!C9</f>
        <v>전기1</v>
      </c>
      <c r="I9" s="318" t="str">
        <f>I7</f>
        <v>-</v>
      </c>
      <c r="J9" s="297">
        <f>참여감리원!O94</f>
        <v>4.3900000000000006</v>
      </c>
      <c r="K9" s="1081">
        <v>14</v>
      </c>
      <c r="L9" s="575">
        <f>참여감리원!L23</f>
        <v>14</v>
      </c>
      <c r="M9" s="790">
        <f>참여감리원!N23</f>
        <v>0</v>
      </c>
      <c r="N9" s="1076"/>
    </row>
    <row r="10" spans="3:20" ht="24.95" customHeight="1" thickTop="1" thickBot="1">
      <c r="C10" s="1089"/>
      <c r="D10" s="1142"/>
      <c r="E10" s="1124" t="str">
        <f>"("&amp;('참여감리원 현황'!D9)&amp;")"</f>
        <v>(-)</v>
      </c>
      <c r="F10" s="1125"/>
      <c r="G10" s="1127"/>
      <c r="H10" s="430" t="str">
        <f>'참여감리원 현황'!C10</f>
        <v>전기2</v>
      </c>
      <c r="I10" s="318" t="str">
        <f>I8</f>
        <v>-</v>
      </c>
      <c r="J10" s="297">
        <f>참여감리원!O121</f>
        <v>1.71</v>
      </c>
      <c r="K10" s="1082"/>
      <c r="L10" s="575">
        <f>참여감리원!L24</f>
        <v>14</v>
      </c>
      <c r="M10" s="790">
        <f>참여감리원!N24</f>
        <v>0</v>
      </c>
      <c r="N10" s="1076"/>
    </row>
    <row r="11" spans="3:20" ht="24.95" customHeight="1" thickTop="1" thickBot="1">
      <c r="C11" s="1089"/>
      <c r="D11" s="1142"/>
      <c r="E11" s="1134" t="str">
        <f>"("&amp;('참여감리원 현황'!D10)&amp;")"</f>
        <v>(-)</v>
      </c>
      <c r="F11" s="1135"/>
      <c r="G11" s="1136"/>
      <c r="H11" s="1132" t="s">
        <v>249</v>
      </c>
      <c r="I11" s="1133"/>
      <c r="J11" s="500">
        <f>J9+J10</f>
        <v>6.1000000000000005</v>
      </c>
      <c r="K11" s="367"/>
      <c r="L11" s="575">
        <f>참여감리원!L25</f>
        <v>14</v>
      </c>
      <c r="M11" s="790">
        <f>참여감리원!N25</f>
        <v>0</v>
      </c>
      <c r="N11" s="1076"/>
    </row>
    <row r="12" spans="3:20" ht="15" customHeight="1" thickTop="1" thickBot="1">
      <c r="C12" s="1089"/>
      <c r="D12" s="1142"/>
      <c r="E12" s="616"/>
      <c r="F12" s="617"/>
      <c r="G12" s="1094" t="s">
        <v>74</v>
      </c>
      <c r="H12" s="1094"/>
      <c r="I12" s="1094"/>
      <c r="J12" s="1095"/>
      <c r="K12" s="525">
        <v>14</v>
      </c>
      <c r="L12" s="300">
        <f>L11</f>
        <v>14</v>
      </c>
      <c r="M12" s="764">
        <f>M11</f>
        <v>0</v>
      </c>
      <c r="N12" s="1054"/>
    </row>
    <row r="13" spans="3:20" ht="24.95" customHeight="1" thickTop="1" thickBot="1">
      <c r="C13" s="1089"/>
      <c r="D13" s="1142"/>
      <c r="E13" s="1091" t="s">
        <v>437</v>
      </c>
      <c r="F13" s="1092"/>
      <c r="G13" s="522" t="s">
        <v>11</v>
      </c>
      <c r="H13" s="496" t="str">
        <f>'참여감리원 현황'!C11</f>
        <v>전기3</v>
      </c>
      <c r="I13" s="368" t="str">
        <f>'참여감리원 현황'!D11</f>
        <v>안중근</v>
      </c>
      <c r="J13" s="301" t="str">
        <f>참여감리원!H33</f>
        <v>고급</v>
      </c>
      <c r="K13" s="284">
        <v>2</v>
      </c>
      <c r="L13" s="499">
        <f>참여감리원!L33</f>
        <v>1</v>
      </c>
      <c r="M13" s="765">
        <f>참여감리원!N33</f>
        <v>0</v>
      </c>
      <c r="N13" s="1054"/>
    </row>
    <row r="14" spans="3:20" ht="24.95" customHeight="1" thickTop="1" thickBot="1">
      <c r="C14" s="1089"/>
      <c r="D14" s="1142"/>
      <c r="E14" s="1124" t="str">
        <f>"("&amp;('참여감리원 현황'!D11)&amp;")"</f>
        <v>(안중근)</v>
      </c>
      <c r="F14" s="1125"/>
      <c r="G14" s="523" t="s">
        <v>296</v>
      </c>
      <c r="H14" s="429" t="str">
        <f>'참여감리원 현황'!C11</f>
        <v>전기3</v>
      </c>
      <c r="I14" s="469" t="str">
        <f>'참여감리원 현황'!D11</f>
        <v>안중근</v>
      </c>
      <c r="J14" s="497">
        <f>참여감리원!J37</f>
        <v>0.36</v>
      </c>
      <c r="K14" s="498">
        <v>9</v>
      </c>
      <c r="L14" s="520">
        <f>참여감리원!L37</f>
        <v>3</v>
      </c>
      <c r="M14" s="763">
        <f>참여감리원!N37</f>
        <v>0</v>
      </c>
      <c r="N14" s="1054"/>
    </row>
    <row r="15" spans="3:20" ht="15" customHeight="1" thickTop="1" thickBot="1">
      <c r="C15" s="1089"/>
      <c r="D15" s="1142"/>
      <c r="E15" s="616"/>
      <c r="F15" s="617"/>
      <c r="G15" s="1137" t="s">
        <v>74</v>
      </c>
      <c r="H15" s="1138"/>
      <c r="I15" s="1138"/>
      <c r="J15" s="1138"/>
      <c r="K15" s="526">
        <v>11</v>
      </c>
      <c r="L15" s="300">
        <f>L13+L14</f>
        <v>4</v>
      </c>
      <c r="M15" s="764">
        <f>M13+M14</f>
        <v>0</v>
      </c>
      <c r="N15" s="1054"/>
    </row>
    <row r="16" spans="3:20" ht="20.100000000000001" customHeight="1" thickTop="1">
      <c r="C16" s="1119"/>
      <c r="D16" s="1143"/>
      <c r="E16" s="1120" t="s">
        <v>210</v>
      </c>
      <c r="F16" s="1121"/>
      <c r="G16" s="1121"/>
      <c r="H16" s="1121"/>
      <c r="I16" s="1121"/>
      <c r="J16" s="1121"/>
      <c r="K16" s="642">
        <f>SUM(K6,K12,K15)</f>
        <v>50</v>
      </c>
      <c r="L16" s="643">
        <f>L6+L12+L15</f>
        <v>34</v>
      </c>
      <c r="M16" s="766">
        <f>M6+M12+M15</f>
        <v>0</v>
      </c>
      <c r="N16" s="1077"/>
    </row>
    <row r="17" spans="3:14" ht="32.25" customHeight="1">
      <c r="C17" s="1089" t="s">
        <v>298</v>
      </c>
      <c r="D17" s="1113">
        <v>10</v>
      </c>
      <c r="E17" s="1090" t="s">
        <v>299</v>
      </c>
      <c r="F17" s="1090"/>
      <c r="G17" s="1090"/>
      <c r="H17" s="1090"/>
      <c r="I17" s="1090"/>
      <c r="J17" s="540">
        <f>유사용역수행실적!L6</f>
        <v>22.83</v>
      </c>
      <c r="K17" s="348">
        <v>8</v>
      </c>
      <c r="L17" s="501">
        <f>유사용역수행실적!N6</f>
        <v>5</v>
      </c>
      <c r="M17" s="767">
        <f>유사용역수행실적!O6</f>
        <v>0</v>
      </c>
      <c r="N17" s="1079"/>
    </row>
    <row r="18" spans="3:14" ht="18" customHeight="1">
      <c r="C18" s="1089"/>
      <c r="D18" s="1113"/>
      <c r="E18" s="1091" t="s">
        <v>300</v>
      </c>
      <c r="F18" s="1071"/>
      <c r="G18" s="1071"/>
      <c r="H18" s="1071"/>
      <c r="I18" s="1092"/>
      <c r="J18" s="370" t="str">
        <f>유사용역수행실적!M112</f>
        <v>A</v>
      </c>
      <c r="K18" s="349">
        <v>2</v>
      </c>
      <c r="L18" s="468">
        <f>유사용역수행실적!N112</f>
        <v>2</v>
      </c>
      <c r="M18" s="765">
        <f>유사용역수행실적!O112</f>
        <v>0</v>
      </c>
      <c r="N18" s="1079"/>
    </row>
    <row r="19" spans="3:14" ht="20.100000000000001" customHeight="1">
      <c r="C19" s="1089"/>
      <c r="D19" s="1090"/>
      <c r="E19" s="1093" t="s">
        <v>210</v>
      </c>
      <c r="F19" s="1093"/>
      <c r="G19" s="1093"/>
      <c r="H19" s="1093"/>
      <c r="I19" s="1093"/>
      <c r="J19" s="1093"/>
      <c r="K19" s="524">
        <v>10</v>
      </c>
      <c r="L19" s="535">
        <f>L17+L18</f>
        <v>7</v>
      </c>
      <c r="M19" s="768">
        <f>M17+M18</f>
        <v>0</v>
      </c>
      <c r="N19" s="1079"/>
    </row>
    <row r="20" spans="3:14" ht="24.95" customHeight="1">
      <c r="C20" s="1151" t="s">
        <v>301</v>
      </c>
      <c r="D20" s="1096">
        <v>10</v>
      </c>
      <c r="E20" s="1091" t="s">
        <v>416</v>
      </c>
      <c r="F20" s="1092"/>
      <c r="G20" s="1067" t="s">
        <v>15</v>
      </c>
      <c r="H20" s="1068"/>
      <c r="I20" s="1069"/>
      <c r="J20" s="308">
        <f>신용도!G13</f>
        <v>1</v>
      </c>
      <c r="K20" s="284">
        <v>4</v>
      </c>
      <c r="L20" s="468">
        <f>신용도!J8</f>
        <v>3.8</v>
      </c>
      <c r="M20" s="765">
        <f>신용도!L8</f>
        <v>0</v>
      </c>
      <c r="N20" s="1078"/>
    </row>
    <row r="21" spans="3:14" ht="24.95" customHeight="1">
      <c r="C21" s="1089"/>
      <c r="D21" s="1113"/>
      <c r="E21" s="1082"/>
      <c r="F21" s="1105"/>
      <c r="G21" s="1067" t="s">
        <v>255</v>
      </c>
      <c r="H21" s="1068"/>
      <c r="I21" s="1069"/>
      <c r="J21" s="308">
        <f>신용도!G18</f>
        <v>1</v>
      </c>
      <c r="K21" s="288">
        <v>3</v>
      </c>
      <c r="L21" s="291">
        <f>신용도!J14</f>
        <v>2.8</v>
      </c>
      <c r="M21" s="765">
        <f>신용도!L14</f>
        <v>0</v>
      </c>
      <c r="N21" s="1079"/>
    </row>
    <row r="22" spans="3:14" ht="15" customHeight="1">
      <c r="C22" s="1089"/>
      <c r="D22" s="1113"/>
      <c r="E22" s="1106"/>
      <c r="F22" s="1107"/>
      <c r="G22" s="1083" t="s">
        <v>20</v>
      </c>
      <c r="H22" s="1084"/>
      <c r="I22" s="1084"/>
      <c r="J22" s="1085"/>
      <c r="K22" s="526">
        <v>7</v>
      </c>
      <c r="L22" s="307">
        <f>SUM(L20:L21)</f>
        <v>6.6</v>
      </c>
      <c r="M22" s="769">
        <f>SUM(M20:M21)</f>
        <v>0</v>
      </c>
      <c r="N22" s="1080"/>
    </row>
    <row r="23" spans="3:14" ht="24.95" customHeight="1">
      <c r="C23" s="1089"/>
      <c r="D23" s="1113"/>
      <c r="E23" s="1091" t="s">
        <v>302</v>
      </c>
      <c r="F23" s="1092"/>
      <c r="G23" s="1067" t="s">
        <v>23</v>
      </c>
      <c r="H23" s="1068"/>
      <c r="I23" s="1069"/>
      <c r="J23" s="502">
        <f>신용도!G25</f>
        <v>1.1399999999999999</v>
      </c>
      <c r="K23" s="288">
        <v>1</v>
      </c>
      <c r="L23" s="292">
        <f>신용도!J25</f>
        <v>1</v>
      </c>
      <c r="M23" s="770">
        <f>신용도!L25</f>
        <v>0</v>
      </c>
      <c r="N23" s="1078" t="s">
        <v>144</v>
      </c>
    </row>
    <row r="24" spans="3:14" ht="24.95" customHeight="1">
      <c r="C24" s="1089"/>
      <c r="D24" s="1113"/>
      <c r="E24" s="1082"/>
      <c r="F24" s="1105"/>
      <c r="G24" s="1067" t="s">
        <v>24</v>
      </c>
      <c r="H24" s="1068"/>
      <c r="I24" s="1069"/>
      <c r="J24" s="502">
        <f>신용도!G30</f>
        <v>1.47</v>
      </c>
      <c r="K24" s="288">
        <v>2</v>
      </c>
      <c r="L24" s="289">
        <f>신용도!J30</f>
        <v>2</v>
      </c>
      <c r="M24" s="771">
        <f>신용도!L30</f>
        <v>0</v>
      </c>
      <c r="N24" s="1079"/>
    </row>
    <row r="25" spans="3:14" ht="15" customHeight="1">
      <c r="C25" s="1089"/>
      <c r="D25" s="1113"/>
      <c r="E25" s="1106"/>
      <c r="F25" s="1107"/>
      <c r="G25" s="1083" t="s">
        <v>20</v>
      </c>
      <c r="H25" s="1084"/>
      <c r="I25" s="1084"/>
      <c r="J25" s="1085"/>
      <c r="K25" s="526">
        <v>3</v>
      </c>
      <c r="L25" s="300">
        <f>SUM(L23:L24)</f>
        <v>3</v>
      </c>
      <c r="M25" s="764">
        <f>SUM(M23:M24)</f>
        <v>0</v>
      </c>
      <c r="N25" s="1079"/>
    </row>
    <row r="26" spans="3:14" ht="20.100000000000001" customHeight="1">
      <c r="C26" s="1152"/>
      <c r="D26" s="1090"/>
      <c r="E26" s="1166" t="s">
        <v>21</v>
      </c>
      <c r="F26" s="1167"/>
      <c r="G26" s="1167"/>
      <c r="H26" s="1167"/>
      <c r="I26" s="1167"/>
      <c r="J26" s="1168"/>
      <c r="K26" s="528">
        <v>10</v>
      </c>
      <c r="L26" s="371">
        <f>L22+L25</f>
        <v>9.6</v>
      </c>
      <c r="M26" s="772">
        <f>M22+M25</f>
        <v>0</v>
      </c>
      <c r="N26" s="1080"/>
    </row>
    <row r="27" spans="3:14" ht="24.95" customHeight="1">
      <c r="C27" s="1151" t="s">
        <v>417</v>
      </c>
      <c r="D27" s="1096">
        <v>10</v>
      </c>
      <c r="E27" s="1091" t="s">
        <v>14</v>
      </c>
      <c r="F27" s="1092"/>
      <c r="G27" s="1175" t="s">
        <v>207</v>
      </c>
      <c r="H27" s="1176"/>
      <c r="I27" s="1177"/>
      <c r="J27" s="309" t="str">
        <f>COUNTIF('기술개발 및 투자실적'!$B$6:B15,"신기술 인증")&amp;"건"</f>
        <v>0건</v>
      </c>
      <c r="K27" s="1096">
        <v>4</v>
      </c>
      <c r="L27" s="1146">
        <f>'기술개발 및 투자실적'!L6</f>
        <v>4</v>
      </c>
      <c r="M27" s="1183">
        <f>'기술개발 및 투자실적'!M16</f>
        <v>0</v>
      </c>
      <c r="N27" s="1078" t="s">
        <v>145</v>
      </c>
    </row>
    <row r="28" spans="3:14" ht="24.95" customHeight="1">
      <c r="C28" s="1089"/>
      <c r="D28" s="1113"/>
      <c r="E28" s="1082"/>
      <c r="F28" s="1105"/>
      <c r="G28" s="1067" t="s">
        <v>26</v>
      </c>
      <c r="H28" s="1068"/>
      <c r="I28" s="1069"/>
      <c r="J28" s="309" t="str">
        <f>COUNTIF('기술개발 및 투자실적'!$B$6:B15,"특허")&amp;"건"</f>
        <v>8건</v>
      </c>
      <c r="K28" s="1113"/>
      <c r="L28" s="1145"/>
      <c r="M28" s="1184"/>
      <c r="N28" s="1079"/>
    </row>
    <row r="29" spans="3:14" ht="24.95" customHeight="1">
      <c r="C29" s="1089"/>
      <c r="D29" s="1113"/>
      <c r="E29" s="1106"/>
      <c r="F29" s="1107"/>
      <c r="G29" s="1067" t="s">
        <v>96</v>
      </c>
      <c r="H29" s="1068"/>
      <c r="I29" s="1069"/>
      <c r="J29" s="309" t="str">
        <f>COUNTIF('기술개발 및 투자실적'!$B$6:B15,"실용실안")&amp;"건"</f>
        <v>0건</v>
      </c>
      <c r="K29" s="1090"/>
      <c r="L29" s="1147"/>
      <c r="M29" s="1185"/>
      <c r="N29" s="1079"/>
    </row>
    <row r="30" spans="3:14" ht="24.95" customHeight="1">
      <c r="C30" s="1089"/>
      <c r="D30" s="1113"/>
      <c r="E30" s="1091" t="s">
        <v>151</v>
      </c>
      <c r="F30" s="1092"/>
      <c r="G30" s="1091" t="s">
        <v>152</v>
      </c>
      <c r="H30" s="1071"/>
      <c r="I30" s="1092"/>
      <c r="J30" s="791">
        <f>'기술개발 및 투자실적'!J24</f>
        <v>3.7016106244701891E-2</v>
      </c>
      <c r="K30" s="284">
        <v>4</v>
      </c>
      <c r="L30" s="285">
        <f>'기술개발 및 투자실적'!L24</f>
        <v>4</v>
      </c>
      <c r="M30" s="762">
        <f>'기술개발 및 투자실적'!M24</f>
        <v>0</v>
      </c>
      <c r="N30" s="1079"/>
    </row>
    <row r="31" spans="3:14" ht="24.95" customHeight="1">
      <c r="C31" s="1089"/>
      <c r="D31" s="1113"/>
      <c r="E31" s="1091" t="s">
        <v>27</v>
      </c>
      <c r="F31" s="1092"/>
      <c r="G31" s="1067" t="s">
        <v>28</v>
      </c>
      <c r="H31" s="1068"/>
      <c r="I31" s="1069"/>
      <c r="J31" s="310" t="str">
        <f>'기술개발 및 투자실적'!D34&amp;"인"</f>
        <v>2인</v>
      </c>
      <c r="K31" s="1096">
        <v>2</v>
      </c>
      <c r="L31" s="1144">
        <f>'기술개발 및 투자실적'!J36</f>
        <v>2</v>
      </c>
      <c r="M31" s="1184">
        <f>'기술개발 및 투자실적'!L36</f>
        <v>0</v>
      </c>
      <c r="N31" s="1141"/>
    </row>
    <row r="32" spans="3:14" ht="24.95" customHeight="1">
      <c r="C32" s="1089"/>
      <c r="D32" s="1113"/>
      <c r="E32" s="1106"/>
      <c r="F32" s="1107"/>
      <c r="G32" s="1067" t="s">
        <v>29</v>
      </c>
      <c r="H32" s="1068"/>
      <c r="I32" s="1069"/>
      <c r="J32" s="310" t="str">
        <f>'기술개발 및 투자실적'!D35&amp;"인"</f>
        <v>0인</v>
      </c>
      <c r="K32" s="1090"/>
      <c r="L32" s="1147"/>
      <c r="M32" s="1187"/>
      <c r="N32" s="1054"/>
    </row>
    <row r="33" spans="3:16" ht="20.100000000000001" customHeight="1">
      <c r="C33" s="1152"/>
      <c r="D33" s="1090"/>
      <c r="E33" s="1170" t="s">
        <v>21</v>
      </c>
      <c r="F33" s="1171"/>
      <c r="G33" s="1171"/>
      <c r="H33" s="1171"/>
      <c r="I33" s="1172"/>
      <c r="J33" s="1173"/>
      <c r="K33" s="532">
        <v>10</v>
      </c>
      <c r="L33" s="529">
        <f>SUM(L27:L32)</f>
        <v>10</v>
      </c>
      <c r="M33" s="773">
        <f>SUM(M27:M32)</f>
        <v>0</v>
      </c>
      <c r="N33" s="1055"/>
    </row>
    <row r="34" spans="3:16" ht="24.95" customHeight="1">
      <c r="C34" s="1151" t="s">
        <v>303</v>
      </c>
      <c r="D34" s="1096">
        <v>10</v>
      </c>
      <c r="E34" s="1091" t="s">
        <v>30</v>
      </c>
      <c r="F34" s="1092"/>
      <c r="G34" s="1067" t="s">
        <v>418</v>
      </c>
      <c r="H34" s="1068"/>
      <c r="I34" s="311" t="str">
        <f>'참여감리원 현황'!D8</f>
        <v>이순신</v>
      </c>
      <c r="J34" s="312" t="str">
        <f>COUNTA(업무중첩도!F7)&amp;"개 현장"</f>
        <v>1개 현장</v>
      </c>
      <c r="K34" s="284">
        <v>4</v>
      </c>
      <c r="L34" s="94">
        <f>업무중첩도!I7</f>
        <v>4</v>
      </c>
      <c r="M34" s="774">
        <f>업무중첩도!J7</f>
        <v>0</v>
      </c>
      <c r="N34" s="1139" t="s">
        <v>304</v>
      </c>
    </row>
    <row r="35" spans="3:16" ht="24.95" customHeight="1">
      <c r="C35" s="1089"/>
      <c r="D35" s="1113"/>
      <c r="E35" s="1082"/>
      <c r="F35" s="1105"/>
      <c r="G35" s="1117" t="s">
        <v>142</v>
      </c>
      <c r="H35" s="504" t="str">
        <f>'참여감리원 현황'!C9</f>
        <v>전기1</v>
      </c>
      <c r="I35" s="505" t="str">
        <f>'참여감리원 현황'!D9</f>
        <v>-</v>
      </c>
      <c r="J35" s="312" t="str">
        <f>COUNTA(업무중첩도!F8)&amp;"개 현장"</f>
        <v>0개 현장</v>
      </c>
      <c r="K35" s="1096">
        <v>2</v>
      </c>
      <c r="L35" s="1144">
        <f>SUM(업무중첩도!I8:I9)</f>
        <v>2</v>
      </c>
      <c r="M35" s="1186">
        <f>업무중첩도!J8</f>
        <v>0</v>
      </c>
      <c r="N35" s="1140"/>
    </row>
    <row r="36" spans="3:16" ht="24.95" customHeight="1">
      <c r="C36" s="1089"/>
      <c r="D36" s="1113"/>
      <c r="E36" s="1082"/>
      <c r="F36" s="1105"/>
      <c r="G36" s="1117"/>
      <c r="H36" s="504" t="str">
        <f>'참여감리원 현황'!C10</f>
        <v>전기2</v>
      </c>
      <c r="I36" s="503" t="str">
        <f>'참여감리원 현황'!D10</f>
        <v>-</v>
      </c>
      <c r="J36" s="312" t="str">
        <f>COUNTA(업무중첩도!F9)&amp;"개 현장"</f>
        <v>0개 현장</v>
      </c>
      <c r="K36" s="1113"/>
      <c r="L36" s="1145"/>
      <c r="M36" s="1187"/>
      <c r="N36" s="1140"/>
    </row>
    <row r="37" spans="3:16" ht="51.75" customHeight="1">
      <c r="C37" s="1089"/>
      <c r="D37" s="1113"/>
      <c r="E37" s="1158" t="s">
        <v>419</v>
      </c>
      <c r="F37" s="1158"/>
      <c r="G37" s="1117" t="str">
        <f>'참여감리원 현황'!C11</f>
        <v>전기3</v>
      </c>
      <c r="H37" s="1117"/>
      <c r="I37" s="503" t="s">
        <v>212</v>
      </c>
      <c r="J37" s="576" t="str">
        <f>업무중첩도!F19-업무중첩도!G19&amp;"개 현장"</f>
        <v>8개 현장</v>
      </c>
      <c r="K37" s="521" t="s">
        <v>25</v>
      </c>
      <c r="L37" s="575">
        <f>업무중첩도!I10</f>
        <v>1</v>
      </c>
      <c r="M37" s="758">
        <f>업무중첩도!J10</f>
        <v>0</v>
      </c>
      <c r="N37" s="1056" t="s">
        <v>430</v>
      </c>
      <c r="P37" s="578"/>
    </row>
    <row r="38" spans="3:16" ht="20.100000000000001" customHeight="1">
      <c r="C38" s="1119"/>
      <c r="D38" s="1165"/>
      <c r="E38" s="1174" t="s">
        <v>21</v>
      </c>
      <c r="F38" s="1174"/>
      <c r="G38" s="1174"/>
      <c r="H38" s="1174"/>
      <c r="I38" s="1174"/>
      <c r="J38" s="1174"/>
      <c r="K38" s="642">
        <v>10</v>
      </c>
      <c r="L38" s="646">
        <f>L34+L35+L37</f>
        <v>7</v>
      </c>
      <c r="M38" s="775">
        <f>M34+M35+M37</f>
        <v>0</v>
      </c>
      <c r="N38" s="1057"/>
    </row>
    <row r="39" spans="3:16" ht="24.95" customHeight="1">
      <c r="C39" s="1103" t="s">
        <v>305</v>
      </c>
      <c r="D39" s="1111">
        <v>5</v>
      </c>
      <c r="E39" s="1192" t="s">
        <v>15</v>
      </c>
      <c r="F39" s="1193"/>
      <c r="G39" s="1193"/>
      <c r="H39" s="1193"/>
      <c r="I39" s="1194"/>
      <c r="J39" s="644" t="str">
        <f>교체빈도!I11&amp;"%"</f>
        <v>0%</v>
      </c>
      <c r="K39" s="348">
        <v>2.5</v>
      </c>
      <c r="L39" s="645">
        <f>교체빈도!J11</f>
        <v>2.5</v>
      </c>
      <c r="M39" s="776">
        <f>교체빈도!K11</f>
        <v>0</v>
      </c>
      <c r="N39" s="1054"/>
    </row>
    <row r="40" spans="3:16" ht="24.95" customHeight="1">
      <c r="C40" s="1103"/>
      <c r="D40" s="1111"/>
      <c r="E40" s="1108" t="s">
        <v>13</v>
      </c>
      <c r="F40" s="1109"/>
      <c r="G40" s="1109"/>
      <c r="H40" s="1109"/>
      <c r="I40" s="1110"/>
      <c r="J40" s="633" t="str">
        <f>교체빈도!I24 &amp;"점 감점"</f>
        <v>0점 감점</v>
      </c>
      <c r="K40" s="288">
        <v>2.5</v>
      </c>
      <c r="L40" s="293">
        <f>교체빈도!J16</f>
        <v>2.5</v>
      </c>
      <c r="M40" s="776">
        <f>교체빈도!K16</f>
        <v>0</v>
      </c>
      <c r="N40" s="1054"/>
    </row>
    <row r="41" spans="3:16" ht="20.100000000000001" customHeight="1">
      <c r="C41" s="1104"/>
      <c r="D41" s="1112"/>
      <c r="E41" s="1114" t="s">
        <v>31</v>
      </c>
      <c r="F41" s="1115"/>
      <c r="G41" s="1115"/>
      <c r="H41" s="1115"/>
      <c r="I41" s="1115"/>
      <c r="J41" s="1116"/>
      <c r="K41" s="524">
        <v>5</v>
      </c>
      <c r="L41" s="530">
        <f>SUM(L39:L40)</f>
        <v>5</v>
      </c>
      <c r="M41" s="757">
        <f>M39+M40</f>
        <v>0</v>
      </c>
      <c r="N41" s="1055"/>
    </row>
    <row r="42" spans="3:16" ht="24.95" customHeight="1">
      <c r="C42" s="1159" t="s">
        <v>420</v>
      </c>
      <c r="D42" s="1190">
        <v>5</v>
      </c>
      <c r="E42" s="1153" t="s">
        <v>306</v>
      </c>
      <c r="F42" s="1154"/>
      <c r="G42" s="1154"/>
      <c r="H42" s="1154"/>
      <c r="I42" s="1155"/>
      <c r="J42" s="507"/>
      <c r="K42" s="284">
        <v>3</v>
      </c>
      <c r="L42" s="1156">
        <f>작업기법!F6</f>
        <v>5</v>
      </c>
      <c r="M42" s="1181">
        <f>작업기법!G6</f>
        <v>0</v>
      </c>
      <c r="N42" s="1051"/>
    </row>
    <row r="43" spans="3:16" ht="24.95" customHeight="1">
      <c r="C43" s="1103"/>
      <c r="D43" s="1111"/>
      <c r="E43" s="1153" t="s">
        <v>307</v>
      </c>
      <c r="F43" s="1154"/>
      <c r="G43" s="1154"/>
      <c r="H43" s="1154"/>
      <c r="I43" s="1155"/>
      <c r="J43" s="508"/>
      <c r="K43" s="284">
        <v>2</v>
      </c>
      <c r="L43" s="1157"/>
      <c r="M43" s="1182"/>
      <c r="N43" s="1052"/>
    </row>
    <row r="44" spans="3:16" ht="20.100000000000001" customHeight="1">
      <c r="C44" s="1104"/>
      <c r="D44" s="1112"/>
      <c r="E44" s="1114" t="s">
        <v>31</v>
      </c>
      <c r="F44" s="1115"/>
      <c r="G44" s="1115"/>
      <c r="H44" s="1115"/>
      <c r="I44" s="1115"/>
      <c r="J44" s="1116"/>
      <c r="K44" s="524">
        <v>5</v>
      </c>
      <c r="L44" s="530">
        <f>L42</f>
        <v>5</v>
      </c>
      <c r="M44" s="757">
        <f>M42</f>
        <v>0</v>
      </c>
      <c r="N44" s="1053"/>
    </row>
    <row r="45" spans="3:16" ht="24.95" customHeight="1">
      <c r="C45" s="1160" t="s">
        <v>308</v>
      </c>
      <c r="D45" s="1164">
        <v>2.5</v>
      </c>
      <c r="E45" s="1067" t="s">
        <v>309</v>
      </c>
      <c r="F45" s="1068"/>
      <c r="G45" s="1068"/>
      <c r="H45" s="1068"/>
      <c r="I45" s="1069"/>
      <c r="J45" s="518"/>
      <c r="K45" s="509">
        <v>1.5</v>
      </c>
      <c r="L45" s="515">
        <f>가감점!G10</f>
        <v>0</v>
      </c>
      <c r="M45" s="777">
        <f>가감점!H10</f>
        <v>0</v>
      </c>
      <c r="N45" s="295"/>
    </row>
    <row r="46" spans="3:16" ht="24.95" customHeight="1">
      <c r="C46" s="1161"/>
      <c r="D46" s="1164"/>
      <c r="E46" s="1158" t="s">
        <v>310</v>
      </c>
      <c r="F46" s="1158"/>
      <c r="G46" s="1158"/>
      <c r="H46" s="1158" t="s">
        <v>429</v>
      </c>
      <c r="I46" s="1158"/>
      <c r="J46" s="633" t="str">
        <f>IF(가감점!E14="","없음",가감점!E14)</f>
        <v>기술사(전기안전)</v>
      </c>
      <c r="K46" s="509">
        <v>1</v>
      </c>
      <c r="L46" s="515">
        <f>가감점!G14</f>
        <v>1</v>
      </c>
      <c r="M46" s="777">
        <f>가감점!H14</f>
        <v>0</v>
      </c>
      <c r="N46" s="295"/>
    </row>
    <row r="47" spans="3:16" ht="24.95" customHeight="1">
      <c r="C47" s="1161"/>
      <c r="D47" s="1169">
        <v>-11</v>
      </c>
      <c r="E47" s="1067" t="s">
        <v>312</v>
      </c>
      <c r="F47" s="1068"/>
      <c r="G47" s="1068"/>
      <c r="H47" s="1068"/>
      <c r="I47" s="1069"/>
      <c r="J47" s="516"/>
      <c r="K47" s="509">
        <v>-2</v>
      </c>
      <c r="L47" s="515">
        <f>가감점!G20</f>
        <v>0</v>
      </c>
      <c r="M47" s="777">
        <f>가감점!H20</f>
        <v>0</v>
      </c>
      <c r="N47" s="295"/>
    </row>
    <row r="48" spans="3:16" ht="24.95" customHeight="1">
      <c r="C48" s="1161"/>
      <c r="D48" s="1169"/>
      <c r="E48" s="1091" t="s">
        <v>33</v>
      </c>
      <c r="F48" s="1071"/>
      <c r="G48" s="1071"/>
      <c r="H48" s="1092"/>
      <c r="I48" s="288" t="s">
        <v>311</v>
      </c>
      <c r="J48" s="516"/>
      <c r="K48" s="1188">
        <v>-5</v>
      </c>
      <c r="L48" s="1156">
        <f>가감점!G28</f>
        <v>0</v>
      </c>
      <c r="M48" s="1181">
        <f>가감점!H28</f>
        <v>0</v>
      </c>
      <c r="N48" s="295"/>
    </row>
    <row r="49" spans="2:16" ht="24.95" customHeight="1">
      <c r="C49" s="1161"/>
      <c r="D49" s="1169"/>
      <c r="E49" s="1106"/>
      <c r="F49" s="1191"/>
      <c r="G49" s="1191"/>
      <c r="H49" s="1107"/>
      <c r="I49" s="288" t="s">
        <v>150</v>
      </c>
      <c r="J49" s="516"/>
      <c r="K49" s="1189"/>
      <c r="L49" s="1157"/>
      <c r="M49" s="1182"/>
      <c r="N49" s="295"/>
    </row>
    <row r="50" spans="2:16" ht="24.95" customHeight="1">
      <c r="C50" s="1161"/>
      <c r="D50" s="1169"/>
      <c r="E50" s="1067" t="s">
        <v>146</v>
      </c>
      <c r="F50" s="1068"/>
      <c r="G50" s="1068"/>
      <c r="H50" s="1068"/>
      <c r="I50" s="1069"/>
      <c r="J50" s="517"/>
      <c r="K50" s="510">
        <v>-1</v>
      </c>
      <c r="L50" s="515">
        <f>가감점!G36</f>
        <v>0</v>
      </c>
      <c r="M50" s="777">
        <f>가감점!H36</f>
        <v>0</v>
      </c>
      <c r="N50" s="295"/>
    </row>
    <row r="51" spans="2:16" ht="24.95" customHeight="1">
      <c r="C51" s="1162"/>
      <c r="D51" s="1169"/>
      <c r="E51" s="1070" t="s">
        <v>363</v>
      </c>
      <c r="F51" s="1071"/>
      <c r="G51" s="1071"/>
      <c r="H51" s="1071"/>
      <c r="I51" s="1072"/>
      <c r="J51" s="534"/>
      <c r="K51" s="287">
        <v>-3</v>
      </c>
      <c r="L51" s="515">
        <f>가감점!G44</f>
        <v>0</v>
      </c>
      <c r="M51" s="777">
        <f>가감점!H44</f>
        <v>0</v>
      </c>
      <c r="N51" s="519"/>
    </row>
    <row r="52" spans="2:16" ht="20.100000000000001" customHeight="1">
      <c r="C52" s="1163"/>
      <c r="D52" s="1169"/>
      <c r="E52" s="1114" t="s">
        <v>32</v>
      </c>
      <c r="F52" s="1115"/>
      <c r="G52" s="1115"/>
      <c r="H52" s="1115"/>
      <c r="I52" s="1115"/>
      <c r="J52" s="1116"/>
      <c r="K52" s="533"/>
      <c r="L52" s="531">
        <f>SUM(L45:L51)</f>
        <v>1</v>
      </c>
      <c r="M52" s="757">
        <f>SUM(M45:M51)</f>
        <v>0</v>
      </c>
      <c r="N52" s="317"/>
    </row>
    <row r="53" spans="2:16" ht="24.95" customHeight="1">
      <c r="C53" s="1148" t="s">
        <v>626</v>
      </c>
      <c r="D53" s="1149"/>
      <c r="E53" s="1149"/>
      <c r="F53" s="1149"/>
      <c r="G53" s="1149"/>
      <c r="H53" s="1149"/>
      <c r="I53" s="1149"/>
      <c r="J53" s="1149"/>
      <c r="K53" s="1150"/>
      <c r="L53" s="915" t="str">
        <f>IF(ROUND(L16+L19+L26+L33+L38+L41+L44+L52,2)&lt;95,"부적격",ROUND(L16+L19+L26+L33+L38+L41+L44+L52,2))</f>
        <v>부적격</v>
      </c>
      <c r="M53" s="916" t="str">
        <f>IF(ROUND(M16+M19+M26+M33+M38+M41+M44+M52,2)&lt;95,"부적격",ROUND(M16+M19+M26+M33+M38+M41+M44+M52,2))</f>
        <v>부적격</v>
      </c>
      <c r="N53" s="917" t="e">
        <f>L53-M53</f>
        <v>#VALUE!</v>
      </c>
      <c r="P53" s="820" t="s">
        <v>680</v>
      </c>
    </row>
    <row r="54" spans="2:16" ht="24.95" customHeight="1" thickBot="1">
      <c r="C54" s="1178" t="s">
        <v>627</v>
      </c>
      <c r="D54" s="1179"/>
      <c r="E54" s="1179"/>
      <c r="F54" s="1179"/>
      <c r="G54" s="1179"/>
      <c r="H54" s="1179"/>
      <c r="I54" s="1179"/>
      <c r="J54" s="1179"/>
      <c r="K54" s="1180"/>
      <c r="L54" s="919" t="str">
        <f>IF(L53="부적격","부적격",MIN(L53,100))</f>
        <v>부적격</v>
      </c>
      <c r="M54" s="920" t="str">
        <f>IF(M53="부적격","부적격",MIN(M53,100))</f>
        <v>부적격</v>
      </c>
      <c r="N54" s="921" t="e">
        <f>L54-M54</f>
        <v>#VALUE!</v>
      </c>
      <c r="P54" s="280" t="s">
        <v>625</v>
      </c>
    </row>
    <row r="55" spans="2:16" ht="60.75" customHeight="1">
      <c r="C55" s="1064" t="s">
        <v>248</v>
      </c>
      <c r="D55" s="1065"/>
      <c r="E55" s="1065"/>
      <c r="F55" s="1065"/>
      <c r="G55" s="1065"/>
      <c r="H55" s="1065"/>
      <c r="I55" s="1065"/>
      <c r="J55" s="1065"/>
      <c r="K55" s="1065"/>
      <c r="L55" s="1065"/>
      <c r="M55" s="1065"/>
      <c r="N55" s="1066"/>
    </row>
    <row r="56" spans="2:16" ht="24.95" customHeight="1">
      <c r="C56" s="1061" t="str">
        <f>참여신청서!F22</f>
        <v xml:space="preserve">2024.00.00.     </v>
      </c>
      <c r="D56" s="1062"/>
      <c r="E56" s="1062"/>
      <c r="F56" s="1062"/>
      <c r="G56" s="1062"/>
      <c r="H56" s="1062"/>
      <c r="I56" s="1062"/>
      <c r="J56" s="1062"/>
      <c r="K56" s="1062"/>
      <c r="L56" s="1062"/>
      <c r="M56" s="1062"/>
      <c r="N56" s="1063"/>
    </row>
    <row r="57" spans="2:16" ht="11.25" customHeight="1">
      <c r="C57" s="296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95"/>
    </row>
    <row r="58" spans="2:16" ht="24.95" customHeight="1">
      <c r="B58" s="306"/>
      <c r="C58" s="281"/>
      <c r="D58" s="281"/>
      <c r="E58" s="294"/>
      <c r="F58" s="1048" t="str">
        <f>참여신청서!C24&amp;참여신청서!D24</f>
        <v>회 사 명 : AAAA엔지니어링</v>
      </c>
      <c r="G58" s="1048"/>
      <c r="H58" s="1048"/>
      <c r="I58" s="922" t="s">
        <v>695</v>
      </c>
      <c r="J58" s="926" t="str">
        <f>참여신청서!D26</f>
        <v>aaa</v>
      </c>
      <c r="K58" s="812" t="s">
        <v>618</v>
      </c>
      <c r="L58" s="294"/>
      <c r="M58" s="294"/>
      <c r="N58" s="295"/>
    </row>
    <row r="59" spans="2:16" ht="24.95" customHeight="1" thickBot="1">
      <c r="C59" s="1058"/>
      <c r="D59" s="1059"/>
      <c r="E59" s="1059"/>
      <c r="F59" s="1059"/>
      <c r="G59" s="1059"/>
      <c r="H59" s="1059"/>
      <c r="I59" s="1059"/>
      <c r="J59" s="1059"/>
      <c r="K59" s="1059"/>
      <c r="L59" s="1059"/>
      <c r="M59" s="1059"/>
      <c r="N59" s="1060"/>
    </row>
    <row r="60" spans="2:16" ht="13.5" customHeight="1"/>
  </sheetData>
  <customSheetViews>
    <customSheetView guid="{3C925556-11AB-420F-9574-511192FFD696}" showPageBreaks="1" printArea="1" view="pageBreakPreview">
      <selection activeCell="G16" sqref="G16:H16"/>
      <rowBreaks count="3" manualBreakCount="3">
        <brk id="41" min="1" max="14" man="1"/>
        <brk id="50" min="1" max="14" man="1"/>
        <brk id="77" max="16383" man="1"/>
      </rowBreaks>
      <pageMargins left="0.66" right="0.24" top="1" bottom="0.52" header="0.5" footer="0.2"/>
      <pageSetup paperSize="9" scale="68" orientation="portrait" r:id="rId1"/>
      <headerFooter alignWithMargins="0"/>
    </customSheetView>
  </customSheetViews>
  <mergeCells count="110">
    <mergeCell ref="E50:I50"/>
    <mergeCell ref="E38:J38"/>
    <mergeCell ref="G29:I29"/>
    <mergeCell ref="G27:I27"/>
    <mergeCell ref="E52:J52"/>
    <mergeCell ref="C54:K54"/>
    <mergeCell ref="M48:M49"/>
    <mergeCell ref="H46:I46"/>
    <mergeCell ref="E46:G46"/>
    <mergeCell ref="G23:I23"/>
    <mergeCell ref="M42:M43"/>
    <mergeCell ref="L31:L32"/>
    <mergeCell ref="M27:M29"/>
    <mergeCell ref="M35:M36"/>
    <mergeCell ref="M31:M32"/>
    <mergeCell ref="K48:K49"/>
    <mergeCell ref="K31:K32"/>
    <mergeCell ref="K27:K29"/>
    <mergeCell ref="G31:I31"/>
    <mergeCell ref="G30:I30"/>
    <mergeCell ref="D42:D44"/>
    <mergeCell ref="E48:H49"/>
    <mergeCell ref="G37:H37"/>
    <mergeCell ref="E39:I39"/>
    <mergeCell ref="G32:I32"/>
    <mergeCell ref="C53:K53"/>
    <mergeCell ref="K35:K36"/>
    <mergeCell ref="D27:D33"/>
    <mergeCell ref="C20:C26"/>
    <mergeCell ref="E42:I42"/>
    <mergeCell ref="L42:L43"/>
    <mergeCell ref="E37:F37"/>
    <mergeCell ref="E27:F29"/>
    <mergeCell ref="E20:F22"/>
    <mergeCell ref="L48:L49"/>
    <mergeCell ref="C42:C44"/>
    <mergeCell ref="E43:I43"/>
    <mergeCell ref="E45:I45"/>
    <mergeCell ref="C45:C52"/>
    <mergeCell ref="E44:J44"/>
    <mergeCell ref="D45:D46"/>
    <mergeCell ref="C27:C33"/>
    <mergeCell ref="C34:C38"/>
    <mergeCell ref="D34:D38"/>
    <mergeCell ref="E26:J26"/>
    <mergeCell ref="D47:D52"/>
    <mergeCell ref="G28:I28"/>
    <mergeCell ref="E30:F30"/>
    <mergeCell ref="E31:F32"/>
    <mergeCell ref="G15:J15"/>
    <mergeCell ref="N34:N36"/>
    <mergeCell ref="N27:N30"/>
    <mergeCell ref="N31:N33"/>
    <mergeCell ref="E10:F10"/>
    <mergeCell ref="D4:D16"/>
    <mergeCell ref="G24:I24"/>
    <mergeCell ref="L35:L36"/>
    <mergeCell ref="L27:L29"/>
    <mergeCell ref="E33:J33"/>
    <mergeCell ref="E13:F13"/>
    <mergeCell ref="E14:F14"/>
    <mergeCell ref="G21:I21"/>
    <mergeCell ref="E19:J19"/>
    <mergeCell ref="G12:J12"/>
    <mergeCell ref="H5:I5"/>
    <mergeCell ref="E3:I3"/>
    <mergeCell ref="G6:J6"/>
    <mergeCell ref="C39:C41"/>
    <mergeCell ref="E23:F25"/>
    <mergeCell ref="E40:I40"/>
    <mergeCell ref="D39:D41"/>
    <mergeCell ref="E34:F36"/>
    <mergeCell ref="D20:D26"/>
    <mergeCell ref="E41:J41"/>
    <mergeCell ref="G34:H34"/>
    <mergeCell ref="G35:G36"/>
    <mergeCell ref="C4:C16"/>
    <mergeCell ref="E16:J16"/>
    <mergeCell ref="E4:F4"/>
    <mergeCell ref="E5:F5"/>
    <mergeCell ref="G7:G8"/>
    <mergeCell ref="D17:D19"/>
    <mergeCell ref="E7:F9"/>
    <mergeCell ref="H11:I11"/>
    <mergeCell ref="E11:F11"/>
    <mergeCell ref="G9:G11"/>
    <mergeCell ref="F58:H58"/>
    <mergeCell ref="F2:N2"/>
    <mergeCell ref="P1:T3"/>
    <mergeCell ref="N42:N44"/>
    <mergeCell ref="N39:N41"/>
    <mergeCell ref="N37:N38"/>
    <mergeCell ref="C59:N59"/>
    <mergeCell ref="C56:N56"/>
    <mergeCell ref="C55:N55"/>
    <mergeCell ref="E47:I47"/>
    <mergeCell ref="E51:I51"/>
    <mergeCell ref="C1:N1"/>
    <mergeCell ref="N4:N16"/>
    <mergeCell ref="N23:N26"/>
    <mergeCell ref="K9:K10"/>
    <mergeCell ref="N17:N19"/>
    <mergeCell ref="G20:I20"/>
    <mergeCell ref="G22:J22"/>
    <mergeCell ref="N20:N22"/>
    <mergeCell ref="G25:J25"/>
    <mergeCell ref="G4:I4"/>
    <mergeCell ref="C17:C19"/>
    <mergeCell ref="E17:I17"/>
    <mergeCell ref="E18:I18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2"/>
  <headerFooter alignWithMargins="0"/>
  <rowBreaks count="1" manualBreakCount="1">
    <brk id="33" max="16383" man="1"/>
  </rowBreaks>
  <ignoredErrors>
    <ignoredError sqref="K37" numberStoredAsText="1"/>
  </ignoredError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V185"/>
  <sheetViews>
    <sheetView showGridLines="0" view="pageBreakPreview" topLeftCell="A136" zoomScale="90" zoomScaleNormal="100" zoomScaleSheetLayoutView="90" workbookViewId="0"/>
  </sheetViews>
  <sheetFormatPr defaultRowHeight="16.5"/>
  <cols>
    <col min="1" max="1" width="1.21875" style="140" customWidth="1"/>
    <col min="2" max="2" width="4.6640625" style="140" customWidth="1"/>
    <col min="3" max="3" width="4.88671875" style="140" customWidth="1"/>
    <col min="4" max="4" width="14.33203125" style="140" customWidth="1"/>
    <col min="5" max="9" width="8.5546875" style="140" customWidth="1"/>
    <col min="10" max="10" width="8.88671875" style="140" customWidth="1"/>
    <col min="11" max="11" width="7.77734375" style="140" customWidth="1"/>
    <col min="12" max="12" width="9.88671875" style="140" bestFit="1" customWidth="1"/>
    <col min="13" max="15" width="9.77734375" style="140" customWidth="1"/>
    <col min="16" max="16" width="11" style="140" customWidth="1"/>
    <col min="17" max="17" width="1.77734375" style="140" customWidth="1"/>
    <col min="18" max="18" width="2.33203125" style="140" customWidth="1"/>
    <col min="19" max="20" width="8.88671875" style="140"/>
    <col min="21" max="21" width="16.33203125" style="140" customWidth="1"/>
    <col min="22" max="22" width="2.5546875" style="140" customWidth="1"/>
    <col min="23" max="23" width="3" style="140" customWidth="1"/>
    <col min="24" max="24" width="10.77734375" style="140" customWidth="1"/>
    <col min="25" max="16384" width="8.88671875" style="140"/>
  </cols>
  <sheetData>
    <row r="1" spans="2:22">
      <c r="O1" s="325"/>
      <c r="P1" s="325"/>
    </row>
    <row r="2" spans="2:22" s="39" customFormat="1" ht="25.5" customHeight="1">
      <c r="B2" s="431" t="s">
        <v>213</v>
      </c>
    </row>
    <row r="3" spans="2:22" ht="30" customHeight="1">
      <c r="B3" s="156" t="s">
        <v>440</v>
      </c>
      <c r="K3" s="393"/>
      <c r="L3" s="393"/>
      <c r="M3" s="1245"/>
      <c r="N3" s="1245"/>
    </row>
    <row r="4" spans="2:22" ht="17.25" thickBot="1">
      <c r="B4" s="331" t="s">
        <v>441</v>
      </c>
    </row>
    <row r="5" spans="2:22" ht="17.25" customHeight="1">
      <c r="B5" s="1276" t="s">
        <v>339</v>
      </c>
      <c r="C5" s="1277"/>
      <c r="D5" s="1277"/>
      <c r="E5" s="1195" t="s">
        <v>313</v>
      </c>
      <c r="F5" s="1196"/>
      <c r="G5" s="1197"/>
      <c r="H5" s="1201" t="s">
        <v>471</v>
      </c>
      <c r="I5" s="1202"/>
      <c r="J5" s="1202"/>
      <c r="K5" s="1203"/>
      <c r="L5" s="1344" t="s">
        <v>218</v>
      </c>
      <c r="M5" s="1345"/>
      <c r="N5" s="1348" t="s">
        <v>219</v>
      </c>
      <c r="O5" s="1349"/>
      <c r="P5" s="1342" t="s">
        <v>70</v>
      </c>
    </row>
    <row r="6" spans="2:22" ht="17.25" thickBot="1">
      <c r="B6" s="1278"/>
      <c r="C6" s="1279"/>
      <c r="D6" s="1279"/>
      <c r="E6" s="1198"/>
      <c r="F6" s="1199"/>
      <c r="G6" s="1200"/>
      <c r="H6" s="1204"/>
      <c r="I6" s="1205"/>
      <c r="J6" s="1205"/>
      <c r="K6" s="1206"/>
      <c r="L6" s="1346"/>
      <c r="M6" s="1347"/>
      <c r="N6" s="1350"/>
      <c r="O6" s="1351"/>
      <c r="P6" s="1354"/>
      <c r="S6" s="158"/>
      <c r="T6" s="157"/>
      <c r="U6" s="157"/>
      <c r="V6" s="157"/>
    </row>
    <row r="7" spans="2:22" ht="21.95" customHeight="1" thickTop="1" thickBot="1">
      <c r="B7" s="1289" t="str">
        <f>'참여감리원 현황'!D8</f>
        <v>이순신</v>
      </c>
      <c r="C7" s="1290"/>
      <c r="D7" s="1290"/>
      <c r="E7" s="1286" t="str">
        <f>작성요령!U6</f>
        <v>특급</v>
      </c>
      <c r="F7" s="1287"/>
      <c r="G7" s="1288"/>
      <c r="H7" s="1283" t="s">
        <v>287</v>
      </c>
      <c r="I7" s="1284"/>
      <c r="J7" s="1284"/>
      <c r="K7" s="1285"/>
      <c r="L7" s="1352" t="str">
        <f>IF(OR(AND(E7="특급", H7="특급"),AND(E7="고급",H7="특급"),AND(E7="중급", H7="특급"),AND(E7="초급", H7="특급"),AND(E7="고급", H7="고급"),AND(E7="중급",H7="고급"),AND(E7="초급", H7="고급"),AND(E7="중급", H7="중급"),AND(E7="초급",H7="중급"),AND(E7="초급",H7="초급")),"적정","부적합")</f>
        <v>적정</v>
      </c>
      <c r="M7" s="1353"/>
      <c r="N7" s="1335"/>
      <c r="O7" s="1336"/>
      <c r="P7" s="142"/>
    </row>
    <row r="8" spans="2:22" ht="30" customHeight="1" thickBot="1">
      <c r="B8" s="333" t="s">
        <v>442</v>
      </c>
      <c r="C8" s="325"/>
    </row>
    <row r="9" spans="2:22" ht="50.1" customHeight="1" thickBot="1">
      <c r="B9" s="1267" t="s">
        <v>314</v>
      </c>
      <c r="C9" s="1268"/>
      <c r="D9" s="1269"/>
      <c r="E9" s="1280" t="s">
        <v>325</v>
      </c>
      <c r="F9" s="1281"/>
      <c r="G9" s="1281"/>
      <c r="H9" s="1281"/>
      <c r="I9" s="1282"/>
      <c r="J9" s="1246" t="s">
        <v>69</v>
      </c>
      <c r="K9" s="1247"/>
      <c r="L9" s="1337" t="s">
        <v>218</v>
      </c>
      <c r="M9" s="1338"/>
      <c r="N9" s="1313" t="s">
        <v>214</v>
      </c>
      <c r="O9" s="1314"/>
      <c r="P9" s="213" t="s">
        <v>70</v>
      </c>
      <c r="S9" s="1261"/>
      <c r="T9" s="1261"/>
      <c r="U9" s="1261"/>
      <c r="V9" s="1261"/>
    </row>
    <row r="10" spans="2:22" ht="21.95" customHeight="1" thickTop="1">
      <c r="B10" s="1270" t="str">
        <f>작성요령!M17</f>
        <v>800세대이상 1,200세대미만</v>
      </c>
      <c r="C10" s="1271"/>
      <c r="D10" s="1272"/>
      <c r="E10" s="372">
        <f>IF(B10="1,200세대이상",15,IF(B10="800세대이상 1,200세대미만",10,IF(B10="300세대이상 800세대미만",6,"입력오류")))</f>
        <v>10</v>
      </c>
      <c r="F10" s="373">
        <f>E10</f>
        <v>10</v>
      </c>
      <c r="G10" s="374">
        <f>F11</f>
        <v>8</v>
      </c>
      <c r="H10" s="374">
        <f>G11</f>
        <v>6</v>
      </c>
      <c r="I10" s="375">
        <f>H11</f>
        <v>4</v>
      </c>
      <c r="J10" s="1248">
        <f>O47</f>
        <v>4.59</v>
      </c>
      <c r="K10" s="1249"/>
      <c r="L10" s="1307">
        <f>IF(J10&gt;=E10,E12,IF(J10&gt;=F11,F12,IF(J10&gt;=G11,G12,IF(J10&gt;=H11,H12,I12))))</f>
        <v>16</v>
      </c>
      <c r="M10" s="1308"/>
      <c r="N10" s="1315"/>
      <c r="O10" s="1316"/>
      <c r="P10" s="1339" t="s">
        <v>2</v>
      </c>
    </row>
    <row r="11" spans="2:22" ht="21.95" customHeight="1">
      <c r="B11" s="1273"/>
      <c r="C11" s="1274"/>
      <c r="D11" s="1275"/>
      <c r="E11" s="144"/>
      <c r="F11" s="376">
        <f>IF($B$10="800세대이상 1,200세대미만",E10-2,IF($B$10="1,200세대이상",E10-3,E10-1))</f>
        <v>8</v>
      </c>
      <c r="G11" s="376">
        <f>IF($B$10="800세대이상 1,200세대미만",G10-2,IF($B$10="1,200세대이상",G10-3,G10-1))</f>
        <v>6</v>
      </c>
      <c r="H11" s="376">
        <f>IF($B$10="800세대이상 1,200세대미만",H10-2,IF($B$10="1,200세대이상",H10-3,H10-1))</f>
        <v>4</v>
      </c>
      <c r="I11" s="146"/>
      <c r="J11" s="1250"/>
      <c r="K11" s="1251"/>
      <c r="L11" s="1309"/>
      <c r="M11" s="1310"/>
      <c r="N11" s="1317"/>
      <c r="O11" s="1318"/>
      <c r="P11" s="1340"/>
    </row>
    <row r="12" spans="2:22" ht="20.100000000000001" customHeight="1" thickBot="1">
      <c r="B12" s="1291" t="s">
        <v>12</v>
      </c>
      <c r="C12" s="1292"/>
      <c r="D12" s="1293"/>
      <c r="E12" s="377">
        <v>25</v>
      </c>
      <c r="F12" s="377">
        <v>22</v>
      </c>
      <c r="G12" s="377">
        <v>19</v>
      </c>
      <c r="H12" s="377">
        <v>16</v>
      </c>
      <c r="I12" s="377">
        <v>13</v>
      </c>
      <c r="J12" s="1252"/>
      <c r="K12" s="1253"/>
      <c r="L12" s="1311"/>
      <c r="M12" s="1312"/>
      <c r="N12" s="1319"/>
      <c r="O12" s="1320"/>
      <c r="P12" s="1341"/>
    </row>
    <row r="13" spans="2:22" ht="20.100000000000001" customHeight="1">
      <c r="B13" s="382"/>
      <c r="C13" s="383"/>
      <c r="D13" s="383"/>
      <c r="E13" s="384"/>
      <c r="F13" s="384"/>
      <c r="G13" s="384"/>
      <c r="H13" s="384"/>
      <c r="I13" s="384"/>
      <c r="J13" s="385"/>
      <c r="K13" s="385"/>
      <c r="L13" s="386"/>
      <c r="M13" s="387"/>
      <c r="N13" s="381"/>
      <c r="O13" s="387"/>
      <c r="P13" s="381"/>
    </row>
    <row r="14" spans="2:22" ht="20.100000000000001" customHeight="1">
      <c r="B14" s="156" t="s">
        <v>439</v>
      </c>
      <c r="C14" s="383"/>
      <c r="D14" s="383"/>
      <c r="E14" s="384"/>
      <c r="F14" s="384"/>
      <c r="G14" s="384"/>
      <c r="H14" s="384"/>
      <c r="I14" s="384"/>
      <c r="J14" s="385"/>
      <c r="K14" s="385"/>
      <c r="L14" s="386"/>
      <c r="M14" s="387"/>
      <c r="N14" s="381"/>
      <c r="O14" s="387"/>
      <c r="P14" s="381"/>
      <c r="S14" s="331"/>
    </row>
    <row r="15" spans="2:22" ht="20.100000000000001" customHeight="1" thickBot="1">
      <c r="B15" s="331" t="s">
        <v>443</v>
      </c>
      <c r="D15" s="383"/>
      <c r="E15" s="384"/>
      <c r="F15" s="384"/>
      <c r="G15" s="384"/>
      <c r="H15" s="384"/>
      <c r="I15" s="384"/>
      <c r="J15" s="385"/>
      <c r="K15" s="385"/>
      <c r="L15" s="386"/>
      <c r="M15" s="387"/>
      <c r="N15" s="381"/>
      <c r="O15" s="387"/>
      <c r="P15" s="381"/>
      <c r="R15" s="331"/>
    </row>
    <row r="16" spans="2:22" ht="20.100000000000001" customHeight="1">
      <c r="B16" s="1276" t="s">
        <v>339</v>
      </c>
      <c r="C16" s="1277"/>
      <c r="D16" s="1277"/>
      <c r="E16" s="1195" t="s">
        <v>313</v>
      </c>
      <c r="F16" s="1196"/>
      <c r="G16" s="1197"/>
      <c r="H16" s="1201" t="s">
        <v>471</v>
      </c>
      <c r="I16" s="1202"/>
      <c r="J16" s="1321" t="s">
        <v>620</v>
      </c>
      <c r="K16" s="1322"/>
      <c r="L16" s="1344" t="s">
        <v>218</v>
      </c>
      <c r="M16" s="1345"/>
      <c r="N16" s="1348" t="s">
        <v>219</v>
      </c>
      <c r="O16" s="1349"/>
      <c r="P16" s="1342" t="s">
        <v>70</v>
      </c>
    </row>
    <row r="17" spans="2:18" ht="20.100000000000001" customHeight="1" thickBot="1">
      <c r="B17" s="1278"/>
      <c r="C17" s="1279"/>
      <c r="D17" s="1279"/>
      <c r="E17" s="1198"/>
      <c r="F17" s="1199"/>
      <c r="G17" s="1200"/>
      <c r="H17" s="1204"/>
      <c r="I17" s="1205"/>
      <c r="J17" s="1323"/>
      <c r="K17" s="1324"/>
      <c r="L17" s="1346"/>
      <c r="M17" s="1347"/>
      <c r="N17" s="1350"/>
      <c r="O17" s="1351"/>
      <c r="P17" s="1354"/>
    </row>
    <row r="18" spans="2:18" ht="21.95" customHeight="1" thickTop="1">
      <c r="B18" s="1262" t="str">
        <f>'참여감리원 현황'!D9</f>
        <v>-</v>
      </c>
      <c r="C18" s="1263"/>
      <c r="D18" s="1263"/>
      <c r="E18" s="1264">
        <f>작성요령!U7</f>
        <v>0</v>
      </c>
      <c r="F18" s="1265"/>
      <c r="G18" s="1266"/>
      <c r="H18" s="1366" t="s">
        <v>596</v>
      </c>
      <c r="I18" s="1367"/>
      <c r="J18" s="1370" t="str">
        <f>작성요령!X7</f>
        <v>미평가</v>
      </c>
      <c r="K18" s="1371"/>
      <c r="L18" s="1357" t="str">
        <f>IF(J18="미평가","미평가",IF(OR(AND(E18="특급", H18="특급"),AND(E18="고급",H18="특급"),AND(E18="중급", H18="특급"),AND(E18="초급", H18="특급"),AND(E18="고급", H18="고급"),AND(E18="중급",H18="고급"),AND(E18="초급", H18="고급"),AND(E18="중급", H18="중급"),AND(E18="초급",H18="중급"),AND(E18="초급",H18="초급")),"적정","부적합"))</f>
        <v>미평가</v>
      </c>
      <c r="M18" s="1358"/>
      <c r="N18" s="1374"/>
      <c r="O18" s="1375"/>
      <c r="P18" s="1355"/>
    </row>
    <row r="19" spans="2:18" ht="21.95" customHeight="1" thickBot="1">
      <c r="B19" s="1298" t="str">
        <f>'참여감리원 현황'!D10</f>
        <v>-</v>
      </c>
      <c r="C19" s="1299"/>
      <c r="D19" s="1299"/>
      <c r="E19" s="1300">
        <f>작성요령!U7</f>
        <v>0</v>
      </c>
      <c r="F19" s="1301"/>
      <c r="G19" s="1301"/>
      <c r="H19" s="1368" t="s">
        <v>287</v>
      </c>
      <c r="I19" s="1369"/>
      <c r="J19" s="1372" t="str">
        <f>작성요령!X8</f>
        <v>미평가</v>
      </c>
      <c r="K19" s="1373"/>
      <c r="L19" s="1359" t="str">
        <f>IF(J19="미평가","미평가",IF(OR(AND(E19="특급", H19="특급"),AND(E19="고급",H19="특급"),AND(E19="중급", H19="특급"),AND(E19="초급", H19="특급"),AND(E19="고급", H19="고급"),AND(E19="중급",H19="고급"),AND(E19="초급", H19="고급"),AND(E19="중급", H19="중급"),AND(E19="초급",H19="중급"),AND(E19="초급",H19="초급")),"적정","부적합"))</f>
        <v>미평가</v>
      </c>
      <c r="M19" s="1360"/>
      <c r="N19" s="1376"/>
      <c r="O19" s="1377"/>
      <c r="P19" s="1356"/>
    </row>
    <row r="20" spans="2:18" ht="20.100000000000001" customHeight="1">
      <c r="B20" s="382"/>
      <c r="C20" s="383"/>
      <c r="D20" s="383"/>
      <c r="E20" s="384"/>
      <c r="F20" s="384"/>
      <c r="G20" s="384"/>
      <c r="H20" s="384"/>
      <c r="I20" s="384"/>
      <c r="J20" s="385"/>
      <c r="K20" s="385"/>
      <c r="L20" s="386"/>
      <c r="M20" s="387"/>
      <c r="N20" s="381"/>
      <c r="O20" s="387"/>
      <c r="P20" s="381"/>
    </row>
    <row r="21" spans="2:18" ht="20.100000000000001" customHeight="1" thickBot="1">
      <c r="B21" s="333" t="s">
        <v>444</v>
      </c>
      <c r="C21" s="383"/>
      <c r="D21" s="383"/>
      <c r="E21" s="384"/>
      <c r="F21" s="384"/>
      <c r="G21" s="384"/>
      <c r="H21" s="384"/>
      <c r="I21" s="384"/>
      <c r="J21" s="385"/>
      <c r="K21" s="385"/>
      <c r="L21" s="386"/>
      <c r="M21" s="387"/>
      <c r="N21" s="381"/>
      <c r="O21" s="387"/>
      <c r="P21" s="381"/>
    </row>
    <row r="22" spans="2:18" ht="33.75" customHeight="1" thickBot="1">
      <c r="B22" s="1267" t="s">
        <v>314</v>
      </c>
      <c r="C22" s="1268"/>
      <c r="D22" s="1269"/>
      <c r="E22" s="1280" t="s">
        <v>325</v>
      </c>
      <c r="F22" s="1281"/>
      <c r="G22" s="1281"/>
      <c r="H22" s="1281"/>
      <c r="I22" s="1282"/>
      <c r="J22" s="1246" t="s">
        <v>69</v>
      </c>
      <c r="K22" s="1247"/>
      <c r="L22" s="1337" t="s">
        <v>218</v>
      </c>
      <c r="M22" s="1338"/>
      <c r="N22" s="1313" t="s">
        <v>214</v>
      </c>
      <c r="O22" s="1314"/>
      <c r="P22" s="213" t="s">
        <v>70</v>
      </c>
      <c r="R22" s="388"/>
    </row>
    <row r="23" spans="2:18" ht="21.95" customHeight="1" thickTop="1">
      <c r="B23" s="1327" t="str">
        <f>IF(B10="800세대이상 1,200세대미만","800세대이상 1,200세대미만",IF(B10="1,200세대이상","1,200세대이상","800세대미만"))</f>
        <v>800세대이상 1,200세대미만</v>
      </c>
      <c r="C23" s="1328"/>
      <c r="D23" s="1329"/>
      <c r="E23" s="800">
        <f>IF(B23="1,200세대이상",6,IF(B23="800세대이상 1,200세대미만",3,"해당없음"))</f>
        <v>3</v>
      </c>
      <c r="F23" s="801">
        <f>E23</f>
        <v>3</v>
      </c>
      <c r="G23" s="802">
        <f>F24</f>
        <v>2</v>
      </c>
      <c r="H23" s="802" t="str">
        <f>IF(G24&lt;&gt;0,G24,"")</f>
        <v/>
      </c>
      <c r="I23" s="803"/>
      <c r="J23" s="886" t="str">
        <f>B18</f>
        <v>-</v>
      </c>
      <c r="K23" s="786">
        <f>O94</f>
        <v>4.3900000000000006</v>
      </c>
      <c r="L23" s="1302">
        <f>IF(OR(B18=0,J18="미평가"),E25,IF(OR(E23="해당없음",K23&gt;=E23),E25,IF(K23&gt;=F24,F25,IF(K23&gt;=G24,G25,IF(K23&gt;=H24,H25,I25)))))</f>
        <v>14</v>
      </c>
      <c r="M23" s="1303"/>
      <c r="N23" s="1315"/>
      <c r="O23" s="1316"/>
      <c r="P23" s="1339" t="s">
        <v>2</v>
      </c>
    </row>
    <row r="24" spans="2:18" ht="21.95" customHeight="1">
      <c r="B24" s="1330"/>
      <c r="C24" s="1331"/>
      <c r="D24" s="1332"/>
      <c r="E24" s="804"/>
      <c r="F24" s="805">
        <f>IFERROR(E23-1,"")</f>
        <v>2</v>
      </c>
      <c r="G24" s="805">
        <f>IF(G23="","",IF($B$10="800세대이상 1,200세대미만",0,IF($B$10="1,200세대이상",G23-1,0)))</f>
        <v>0</v>
      </c>
      <c r="H24" s="805"/>
      <c r="I24" s="806"/>
      <c r="J24" s="887" t="str">
        <f>B19</f>
        <v>-</v>
      </c>
      <c r="K24" s="787">
        <f>O121</f>
        <v>1.71</v>
      </c>
      <c r="L24" s="1304">
        <f>IF(OR(B19=0,J19="미평가"),E25,IF(OR(E23="해당없음",K24&gt;=E23),E25,IF(K24&gt;=F24,F25,IF(K24&gt;=G24,G25,IF(K24&gt;=H24,H25,I25)))))</f>
        <v>14</v>
      </c>
      <c r="M24" s="1304"/>
      <c r="N24" s="1363"/>
      <c r="O24" s="1363"/>
      <c r="P24" s="1340"/>
    </row>
    <row r="25" spans="2:18" ht="20.100000000000001" customHeight="1" thickBot="1">
      <c r="B25" s="1291" t="s">
        <v>12</v>
      </c>
      <c r="C25" s="1292"/>
      <c r="D25" s="1293"/>
      <c r="E25" s="377">
        <v>14</v>
      </c>
      <c r="F25" s="377">
        <v>12</v>
      </c>
      <c r="G25" s="377">
        <v>10</v>
      </c>
      <c r="H25" s="377" t="str">
        <f>IF($B$10="1,200세대이상",8,"")</f>
        <v/>
      </c>
      <c r="I25" s="396"/>
      <c r="J25" s="788" t="s">
        <v>621</v>
      </c>
      <c r="K25" s="789">
        <f>AVERAGE(K23:K24)</f>
        <v>3.0500000000000003</v>
      </c>
      <c r="L25" s="1305">
        <f>IFERROR(AVERAGEIF($J$23:$J$24,"&lt;&gt;-",$L$23:$M$24),14)</f>
        <v>14</v>
      </c>
      <c r="M25" s="1306"/>
      <c r="N25" s="1364">
        <f>IFERROR(AVERAGE(N23:O24),0)</f>
        <v>0</v>
      </c>
      <c r="O25" s="1365"/>
      <c r="P25" s="1341"/>
    </row>
    <row r="26" spans="2:18" ht="20.100000000000001" customHeight="1">
      <c r="B26" s="618" t="s">
        <v>599</v>
      </c>
      <c r="C26" s="383"/>
      <c r="D26" s="383"/>
      <c r="E26" s="384"/>
      <c r="F26" s="384"/>
      <c r="G26" s="384"/>
      <c r="H26" s="384"/>
      <c r="I26" s="384"/>
      <c r="J26" s="385"/>
      <c r="K26" s="385"/>
      <c r="L26" s="386"/>
      <c r="M26" s="387"/>
      <c r="N26" s="381"/>
      <c r="O26" s="387"/>
      <c r="P26" s="381"/>
    </row>
    <row r="27" spans="2:18" ht="20.100000000000001" customHeight="1">
      <c r="B27" s="637" t="s">
        <v>470</v>
      </c>
      <c r="C27" s="383"/>
      <c r="D27" s="383"/>
      <c r="E27" s="384"/>
      <c r="F27" s="384"/>
      <c r="G27" s="384"/>
      <c r="H27" s="384"/>
      <c r="I27" s="384"/>
      <c r="J27" s="385"/>
      <c r="K27" s="385"/>
      <c r="L27" s="386"/>
      <c r="M27" s="387"/>
      <c r="N27" s="381"/>
      <c r="O27" s="387"/>
      <c r="P27" s="381"/>
    </row>
    <row r="28" spans="2:18" ht="20.100000000000001" customHeight="1">
      <c r="B28" s="637"/>
      <c r="C28" s="383"/>
      <c r="D28" s="383"/>
      <c r="E28" s="384"/>
      <c r="F28" s="384"/>
      <c r="G28" s="384"/>
      <c r="H28" s="384"/>
      <c r="I28" s="384"/>
      <c r="J28" s="385"/>
      <c r="K28" s="385"/>
      <c r="L28" s="386"/>
      <c r="M28" s="387"/>
      <c r="N28" s="381"/>
      <c r="O28" s="387"/>
      <c r="P28" s="381"/>
    </row>
    <row r="29" spans="2:18" ht="20.100000000000001" customHeight="1">
      <c r="B29" s="156" t="s">
        <v>445</v>
      </c>
      <c r="D29" s="383"/>
      <c r="E29" s="384"/>
      <c r="F29" s="384"/>
      <c r="G29" s="384"/>
      <c r="H29" s="384"/>
      <c r="I29" s="384"/>
      <c r="J29" s="385"/>
      <c r="K29" s="385"/>
      <c r="L29" s="386"/>
      <c r="M29" s="387"/>
      <c r="N29" s="381"/>
      <c r="O29" s="387"/>
      <c r="P29" s="381"/>
    </row>
    <row r="30" spans="2:18" ht="20.100000000000001" customHeight="1" thickBot="1">
      <c r="B30" s="333" t="s">
        <v>615</v>
      </c>
      <c r="D30" s="383"/>
      <c r="E30" s="384"/>
      <c r="F30" s="384"/>
      <c r="G30" s="384"/>
      <c r="H30" s="384"/>
      <c r="I30" s="384"/>
      <c r="J30" s="385"/>
      <c r="K30" s="385"/>
      <c r="L30" s="386"/>
      <c r="M30" s="387"/>
      <c r="N30" s="381"/>
      <c r="O30" s="387"/>
      <c r="P30" s="381"/>
    </row>
    <row r="31" spans="2:18" ht="20.100000000000001" customHeight="1">
      <c r="B31" s="1276" t="s">
        <v>150</v>
      </c>
      <c r="C31" s="1277"/>
      <c r="D31" s="1277"/>
      <c r="E31" s="1195" t="s">
        <v>313</v>
      </c>
      <c r="F31" s="1196"/>
      <c r="G31" s="1197"/>
      <c r="H31" s="1201" t="s">
        <v>471</v>
      </c>
      <c r="I31" s="1202"/>
      <c r="J31" s="1321" t="s">
        <v>620</v>
      </c>
      <c r="K31" s="1322"/>
      <c r="L31" s="1344" t="s">
        <v>218</v>
      </c>
      <c r="M31" s="1345"/>
      <c r="N31" s="1348" t="s">
        <v>219</v>
      </c>
      <c r="O31" s="1349"/>
      <c r="P31" s="1342" t="s">
        <v>70</v>
      </c>
    </row>
    <row r="32" spans="2:18" ht="20.100000000000001" customHeight="1" thickBot="1">
      <c r="B32" s="1333"/>
      <c r="C32" s="1334"/>
      <c r="D32" s="1334"/>
      <c r="E32" s="1198"/>
      <c r="F32" s="1199"/>
      <c r="G32" s="1200"/>
      <c r="H32" s="1204"/>
      <c r="I32" s="1205"/>
      <c r="J32" s="1323"/>
      <c r="K32" s="1324"/>
      <c r="L32" s="1346"/>
      <c r="M32" s="1347"/>
      <c r="N32" s="1350"/>
      <c r="O32" s="1351"/>
      <c r="P32" s="1343"/>
    </row>
    <row r="33" spans="1:19" ht="21.95" customHeight="1" thickTop="1" thickBot="1">
      <c r="B33" s="1294" t="str">
        <f>'참여감리원 현황'!D11</f>
        <v>안중근</v>
      </c>
      <c r="C33" s="1295"/>
      <c r="D33" s="1295"/>
      <c r="E33" s="1296" t="str">
        <f>작성요령!U10</f>
        <v>고급</v>
      </c>
      <c r="F33" s="1297"/>
      <c r="G33" s="1297"/>
      <c r="H33" s="1283" t="s">
        <v>592</v>
      </c>
      <c r="I33" s="1285"/>
      <c r="J33" s="1325" t="str">
        <f>작성요령!X10</f>
        <v>평가</v>
      </c>
      <c r="K33" s="1326"/>
      <c r="L33" s="1361">
        <f>IF(J33="미평가",2,IF(H33="특급",2,IF(H33="고급",1,IF(H33="","","부적합"))))</f>
        <v>1</v>
      </c>
      <c r="M33" s="1362"/>
      <c r="N33" s="1335"/>
      <c r="O33" s="1336"/>
      <c r="P33" s="579"/>
    </row>
    <row r="34" spans="1:19" ht="20.100000000000001" customHeight="1">
      <c r="B34" s="382"/>
      <c r="C34" s="383"/>
      <c r="D34" s="383"/>
      <c r="E34" s="384"/>
      <c r="F34" s="384"/>
      <c r="G34" s="384"/>
      <c r="H34" s="384"/>
      <c r="I34" s="384"/>
      <c r="J34" s="385"/>
      <c r="K34" s="385"/>
      <c r="L34" s="386"/>
      <c r="M34" s="387"/>
      <c r="N34" s="381"/>
      <c r="O34" s="387"/>
      <c r="P34" s="381"/>
      <c r="S34" s="331" t="s">
        <v>628</v>
      </c>
    </row>
    <row r="35" spans="1:19" ht="20.100000000000001" customHeight="1" thickBot="1">
      <c r="B35" s="333" t="s">
        <v>474</v>
      </c>
      <c r="C35" s="383"/>
      <c r="D35" s="383"/>
      <c r="E35" s="384"/>
      <c r="F35" s="384"/>
      <c r="G35" s="384"/>
      <c r="H35" s="384"/>
      <c r="I35" s="384"/>
      <c r="J35" s="385"/>
      <c r="K35" s="385"/>
      <c r="L35" s="386"/>
      <c r="M35" s="387"/>
      <c r="N35" s="381"/>
      <c r="O35" s="387"/>
      <c r="P35" s="381"/>
    </row>
    <row r="36" spans="1:19" ht="33.75" customHeight="1" thickBot="1">
      <c r="B36" s="1267" t="s">
        <v>97</v>
      </c>
      <c r="C36" s="1268"/>
      <c r="D36" s="1269"/>
      <c r="E36" s="1280" t="s">
        <v>325</v>
      </c>
      <c r="F36" s="1281"/>
      <c r="G36" s="1281"/>
      <c r="H36" s="1281"/>
      <c r="I36" s="1282"/>
      <c r="J36" s="1246" t="s">
        <v>69</v>
      </c>
      <c r="K36" s="1247"/>
      <c r="L36" s="1337" t="s">
        <v>218</v>
      </c>
      <c r="M36" s="1338"/>
      <c r="N36" s="1313" t="s">
        <v>214</v>
      </c>
      <c r="O36" s="1314"/>
      <c r="P36" s="213" t="s">
        <v>70</v>
      </c>
    </row>
    <row r="37" spans="1:19" ht="21.95" customHeight="1" thickTop="1">
      <c r="B37" s="1270" t="s">
        <v>322</v>
      </c>
      <c r="C37" s="1271"/>
      <c r="D37" s="1272"/>
      <c r="E37" s="372">
        <v>10</v>
      </c>
      <c r="F37" s="373">
        <f>E37</f>
        <v>10</v>
      </c>
      <c r="G37" s="374">
        <f>F38</f>
        <v>7</v>
      </c>
      <c r="H37" s="374">
        <f>G38</f>
        <v>4</v>
      </c>
      <c r="I37" s="394"/>
      <c r="J37" s="1248">
        <f>O148</f>
        <v>0.36</v>
      </c>
      <c r="K37" s="1249"/>
      <c r="L37" s="1307">
        <f>IF(J33="미평가",9,IF(J37&gt;=E37,E39,IF(J37&gt;=F38,F39,IF(J37&gt;=G38,G39,H39))))</f>
        <v>3</v>
      </c>
      <c r="M37" s="1308"/>
      <c r="N37" s="1315"/>
      <c r="O37" s="1316"/>
      <c r="P37" s="1339" t="s">
        <v>2</v>
      </c>
    </row>
    <row r="38" spans="1:19" ht="21.95" customHeight="1">
      <c r="B38" s="1273"/>
      <c r="C38" s="1274"/>
      <c r="D38" s="1275"/>
      <c r="E38" s="144"/>
      <c r="F38" s="376">
        <f>F37-3</f>
        <v>7</v>
      </c>
      <c r="G38" s="376">
        <f>G37-3</f>
        <v>4</v>
      </c>
      <c r="H38" s="376"/>
      <c r="I38" s="395"/>
      <c r="J38" s="1250"/>
      <c r="K38" s="1251"/>
      <c r="L38" s="1309"/>
      <c r="M38" s="1310"/>
      <c r="N38" s="1317"/>
      <c r="O38" s="1318"/>
      <c r="P38" s="1340"/>
    </row>
    <row r="39" spans="1:19" ht="21.95" customHeight="1" thickBot="1">
      <c r="B39" s="1291" t="s">
        <v>12</v>
      </c>
      <c r="C39" s="1292"/>
      <c r="D39" s="1293"/>
      <c r="E39" s="377">
        <v>9</v>
      </c>
      <c r="F39" s="377">
        <v>7</v>
      </c>
      <c r="G39" s="377">
        <v>5</v>
      </c>
      <c r="H39" s="377">
        <v>3</v>
      </c>
      <c r="I39" s="396"/>
      <c r="J39" s="1252"/>
      <c r="K39" s="1253"/>
      <c r="L39" s="1311"/>
      <c r="M39" s="1312"/>
      <c r="N39" s="1319"/>
      <c r="O39" s="1320"/>
      <c r="P39" s="1341"/>
    </row>
    <row r="40" spans="1:19" ht="20.100000000000001" customHeight="1">
      <c r="B40" s="382"/>
      <c r="C40" s="383"/>
      <c r="D40" s="383"/>
      <c r="E40" s="384"/>
      <c r="F40" s="384"/>
      <c r="G40" s="384"/>
      <c r="H40" s="384"/>
      <c r="I40" s="384"/>
      <c r="J40" s="385"/>
      <c r="K40" s="385"/>
      <c r="L40" s="386"/>
      <c r="M40" s="387"/>
      <c r="N40" s="389"/>
      <c r="O40" s="325"/>
      <c r="P40" s="325"/>
    </row>
    <row r="41" spans="1:19" ht="20.100000000000001" customHeight="1">
      <c r="B41" s="382"/>
      <c r="C41" s="383"/>
      <c r="D41" s="383"/>
      <c r="E41" s="384"/>
      <c r="F41" s="384"/>
      <c r="G41" s="384"/>
      <c r="H41" s="384"/>
      <c r="I41" s="384"/>
      <c r="J41" s="385"/>
      <c r="K41" s="385"/>
      <c r="L41" s="386"/>
      <c r="M41" s="387"/>
      <c r="N41" s="389"/>
      <c r="O41" s="325"/>
      <c r="P41" s="325"/>
    </row>
    <row r="42" spans="1:19" ht="20.100000000000001" customHeight="1">
      <c r="B42" s="638" t="s">
        <v>487</v>
      </c>
      <c r="C42" s="383"/>
      <c r="D42" s="383"/>
      <c r="E42" s="384"/>
      <c r="F42" s="384"/>
      <c r="G42" s="384"/>
      <c r="H42" s="384"/>
      <c r="I42" s="384"/>
      <c r="J42" s="385"/>
      <c r="K42" s="385"/>
      <c r="L42" s="386"/>
      <c r="M42" s="387"/>
      <c r="N42" s="389"/>
      <c r="O42" s="325"/>
      <c r="P42" s="325"/>
    </row>
    <row r="43" spans="1:19" ht="15" customHeight="1">
      <c r="B43" s="432"/>
      <c r="C43" s="383"/>
      <c r="D43" s="383"/>
      <c r="E43" s="384"/>
      <c r="F43" s="384"/>
      <c r="G43" s="384"/>
      <c r="H43" s="384"/>
      <c r="I43" s="384"/>
      <c r="J43" s="385"/>
      <c r="K43" s="385"/>
      <c r="L43" s="386"/>
      <c r="M43" s="387"/>
      <c r="N43" s="389"/>
      <c r="O43" s="325"/>
      <c r="P43" s="325"/>
    </row>
    <row r="44" spans="1:19" ht="18" thickBot="1">
      <c r="A44" s="153"/>
      <c r="B44" s="619" t="str">
        <f>"- 책임감리원 : "&amp;'참여감리원 현황'!D8</f>
        <v>- 책임감리원 : 이순신</v>
      </c>
      <c r="C44" s="620"/>
      <c r="D44" s="620"/>
      <c r="E44" s="153"/>
      <c r="F44" s="154"/>
      <c r="G44" s="154"/>
      <c r="H44" s="154"/>
      <c r="I44" s="154"/>
      <c r="J44" s="154"/>
      <c r="K44" s="155"/>
      <c r="L44" s="40"/>
      <c r="M44" s="160"/>
      <c r="N44" s="161"/>
      <c r="O44" s="162"/>
      <c r="P44" s="162"/>
      <c r="Q44" s="2"/>
      <c r="R44"/>
    </row>
    <row r="45" spans="1:19" ht="17.25">
      <c r="A45" s="153"/>
      <c r="B45" s="1239" t="s">
        <v>97</v>
      </c>
      <c r="C45" s="1240" t="s">
        <v>217</v>
      </c>
      <c r="D45" s="1240" t="s">
        <v>315</v>
      </c>
      <c r="E45" s="1240"/>
      <c r="F45" s="1240"/>
      <c r="G45" s="1240"/>
      <c r="H45" s="1240" t="s">
        <v>316</v>
      </c>
      <c r="I45" s="1240"/>
      <c r="J45" s="1240" t="s">
        <v>215</v>
      </c>
      <c r="K45" s="1240" t="s">
        <v>317</v>
      </c>
      <c r="L45" s="1254" t="s">
        <v>8</v>
      </c>
      <c r="M45" s="1255"/>
      <c r="N45" s="1256"/>
      <c r="O45" s="1241" t="s">
        <v>216</v>
      </c>
      <c r="P45" s="1214" t="s">
        <v>690</v>
      </c>
      <c r="Q45" s="2"/>
      <c r="R45"/>
    </row>
    <row r="46" spans="1:19" ht="18" thickBot="1">
      <c r="A46" s="153"/>
      <c r="B46" s="1225"/>
      <c r="C46" s="1217"/>
      <c r="D46" s="1217"/>
      <c r="E46" s="1217"/>
      <c r="F46" s="1217"/>
      <c r="G46" s="1217"/>
      <c r="H46" s="1217"/>
      <c r="I46" s="1217"/>
      <c r="J46" s="1217"/>
      <c r="K46" s="1217"/>
      <c r="L46" s="581" t="s">
        <v>9</v>
      </c>
      <c r="M46" s="581" t="s">
        <v>10</v>
      </c>
      <c r="N46" s="582" t="s">
        <v>318</v>
      </c>
      <c r="O46" s="1242"/>
      <c r="P46" s="1215"/>
      <c r="Q46" s="2"/>
      <c r="R46"/>
    </row>
    <row r="47" spans="1:19" ht="18" thickTop="1">
      <c r="A47" s="153"/>
      <c r="B47" s="1243" t="s">
        <v>72</v>
      </c>
      <c r="C47" s="1244"/>
      <c r="D47" s="1244"/>
      <c r="E47" s="1244"/>
      <c r="F47" s="1244"/>
      <c r="G47" s="1244"/>
      <c r="H47" s="1244"/>
      <c r="I47" s="1244"/>
      <c r="J47" s="1244"/>
      <c r="K47" s="1244"/>
      <c r="L47" s="1244"/>
      <c r="M47" s="1244"/>
      <c r="N47" s="580">
        <f>N48+N69</f>
        <v>12.28</v>
      </c>
      <c r="O47" s="580">
        <f>O48+O69</f>
        <v>4.59</v>
      </c>
      <c r="P47" s="754"/>
      <c r="Q47" s="2"/>
      <c r="R47"/>
    </row>
    <row r="48" spans="1:19" ht="17.25">
      <c r="A48" s="153"/>
      <c r="B48" s="1233" t="s">
        <v>321</v>
      </c>
      <c r="C48" s="1234"/>
      <c r="D48" s="1234"/>
      <c r="E48" s="1234"/>
      <c r="F48" s="1234"/>
      <c r="G48" s="1234"/>
      <c r="H48" s="1234"/>
      <c r="I48" s="1234"/>
      <c r="J48" s="1234"/>
      <c r="K48" s="1234"/>
      <c r="L48" s="1234"/>
      <c r="M48" s="1234"/>
      <c r="N48" s="380">
        <f>ROUND(SUM(N49:N68)/365,2)</f>
        <v>7.85</v>
      </c>
      <c r="O48" s="380">
        <f>ROUND(SUM(O49:O68)/365,2)</f>
        <v>1.04</v>
      </c>
      <c r="P48" s="753"/>
      <c r="Q48" s="2"/>
      <c r="R48"/>
    </row>
    <row r="49" spans="1:19" ht="17.25" customHeight="1">
      <c r="A49" s="153"/>
      <c r="B49" s="1226" t="s">
        <v>472</v>
      </c>
      <c r="C49" s="378">
        <v>1</v>
      </c>
      <c r="D49" s="1207" t="s">
        <v>570</v>
      </c>
      <c r="E49" s="1207"/>
      <c r="F49" s="1207"/>
      <c r="G49" s="1207"/>
      <c r="H49" s="1207" t="s">
        <v>324</v>
      </c>
      <c r="I49" s="1207"/>
      <c r="J49" s="439" t="s">
        <v>678</v>
      </c>
      <c r="K49" s="818" t="s">
        <v>320</v>
      </c>
      <c r="L49" s="379">
        <v>40179</v>
      </c>
      <c r="M49" s="379">
        <v>42005</v>
      </c>
      <c r="N49" s="435">
        <f>IF(D49="","",M49-L49+1)</f>
        <v>1827</v>
      </c>
      <c r="O49" s="821" t="str">
        <f t="shared" ref="O49:O68" si="0">IF(J49="비상주감리",N49*0.2,IF(J49="부분상주감리","직접입력", N49))</f>
        <v>직접입력</v>
      </c>
      <c r="P49" s="437" t="str">
        <f t="shared" ref="P49:P68" si="1">IF(D49="","",IF(J49="비상주감리","5개소중복가능",IF(J49="부분상주감리","-",IF(L49&gt;M48,"적정","중복"))))</f>
        <v>-</v>
      </c>
      <c r="Q49" s="2"/>
      <c r="R49"/>
    </row>
    <row r="50" spans="1:19" ht="17.25">
      <c r="A50" s="153"/>
      <c r="B50" s="1227"/>
      <c r="C50" s="378">
        <v>2</v>
      </c>
      <c r="D50" s="1207" t="s">
        <v>570</v>
      </c>
      <c r="E50" s="1207"/>
      <c r="F50" s="1207"/>
      <c r="G50" s="1207"/>
      <c r="H50" s="1207" t="s">
        <v>324</v>
      </c>
      <c r="I50" s="1207"/>
      <c r="J50" s="536" t="s">
        <v>371</v>
      </c>
      <c r="K50" s="818" t="s">
        <v>320</v>
      </c>
      <c r="L50" s="379">
        <v>42186</v>
      </c>
      <c r="M50" s="379">
        <v>42369</v>
      </c>
      <c r="N50" s="435">
        <f>IF(D50="","",M50-L50+1)</f>
        <v>184</v>
      </c>
      <c r="O50" s="821">
        <f t="shared" si="0"/>
        <v>184</v>
      </c>
      <c r="P50" s="437" t="str">
        <f t="shared" si="1"/>
        <v>적정</v>
      </c>
      <c r="Q50" s="2"/>
      <c r="R50"/>
    </row>
    <row r="51" spans="1:19" ht="17.25">
      <c r="A51" s="153"/>
      <c r="B51" s="1227"/>
      <c r="C51" s="378">
        <v>3</v>
      </c>
      <c r="D51" s="1207" t="s">
        <v>570</v>
      </c>
      <c r="E51" s="1207"/>
      <c r="F51" s="1207"/>
      <c r="G51" s="1207"/>
      <c r="H51" s="1207" t="s">
        <v>324</v>
      </c>
      <c r="I51" s="1207"/>
      <c r="J51" s="785" t="s">
        <v>629</v>
      </c>
      <c r="K51" s="818" t="s">
        <v>320</v>
      </c>
      <c r="L51" s="379">
        <v>42370</v>
      </c>
      <c r="M51" s="379">
        <v>42735</v>
      </c>
      <c r="N51" s="435">
        <f t="shared" ref="N51:N68" si="2">IF(D51="","",M51-L51+1)</f>
        <v>366</v>
      </c>
      <c r="O51" s="821">
        <f t="shared" si="0"/>
        <v>73.2</v>
      </c>
      <c r="P51" s="437" t="str">
        <f t="shared" si="1"/>
        <v>5개소중복가능</v>
      </c>
      <c r="Q51" s="2"/>
      <c r="R51"/>
    </row>
    <row r="52" spans="1:19" ht="17.25">
      <c r="A52" s="153"/>
      <c r="B52" s="1227"/>
      <c r="C52" s="378">
        <v>4</v>
      </c>
      <c r="D52" s="1207" t="s">
        <v>570</v>
      </c>
      <c r="E52" s="1207"/>
      <c r="F52" s="1207"/>
      <c r="G52" s="1207"/>
      <c r="H52" s="1207" t="s">
        <v>324</v>
      </c>
      <c r="I52" s="1207"/>
      <c r="J52" s="785" t="s">
        <v>678</v>
      </c>
      <c r="K52" s="818" t="s">
        <v>320</v>
      </c>
      <c r="L52" s="379">
        <v>42370</v>
      </c>
      <c r="M52" s="379">
        <v>42735</v>
      </c>
      <c r="N52" s="435">
        <f t="shared" si="2"/>
        <v>366</v>
      </c>
      <c r="O52" s="821" t="str">
        <f t="shared" si="0"/>
        <v>직접입력</v>
      </c>
      <c r="P52" s="437" t="str">
        <f t="shared" si="1"/>
        <v>-</v>
      </c>
      <c r="Q52" s="2"/>
      <c r="R52"/>
    </row>
    <row r="53" spans="1:19" ht="17.25">
      <c r="A53" s="153"/>
      <c r="B53" s="1227"/>
      <c r="C53" s="378">
        <v>5</v>
      </c>
      <c r="D53" s="1207" t="s">
        <v>570</v>
      </c>
      <c r="E53" s="1207"/>
      <c r="F53" s="1207"/>
      <c r="G53" s="1207"/>
      <c r="H53" s="1207" t="s">
        <v>324</v>
      </c>
      <c r="I53" s="1207"/>
      <c r="J53" s="785" t="s">
        <v>371</v>
      </c>
      <c r="K53" s="818" t="s">
        <v>320</v>
      </c>
      <c r="L53" s="379">
        <v>42644</v>
      </c>
      <c r="M53" s="379">
        <v>42767</v>
      </c>
      <c r="N53" s="435">
        <f t="shared" si="2"/>
        <v>124</v>
      </c>
      <c r="O53" s="821">
        <f t="shared" si="0"/>
        <v>124</v>
      </c>
      <c r="P53" s="437" t="str">
        <f t="shared" si="1"/>
        <v>중복</v>
      </c>
      <c r="Q53" s="2"/>
      <c r="R53"/>
      <c r="S53" s="331" t="s">
        <v>453</v>
      </c>
    </row>
    <row r="54" spans="1:19" ht="17.25">
      <c r="A54" s="153"/>
      <c r="B54" s="1227"/>
      <c r="C54" s="378">
        <v>6</v>
      </c>
      <c r="D54" s="1207"/>
      <c r="E54" s="1207"/>
      <c r="F54" s="1207"/>
      <c r="G54" s="1207"/>
      <c r="H54" s="1207"/>
      <c r="I54" s="1207"/>
      <c r="J54" s="785"/>
      <c r="K54" s="818" t="s">
        <v>320</v>
      </c>
      <c r="L54" s="379"/>
      <c r="M54" s="379"/>
      <c r="N54" s="435" t="str">
        <f t="shared" si="2"/>
        <v/>
      </c>
      <c r="O54" s="821" t="str">
        <f t="shared" si="0"/>
        <v/>
      </c>
      <c r="P54" s="437" t="str">
        <f t="shared" si="1"/>
        <v/>
      </c>
      <c r="Q54" s="2"/>
      <c r="R54"/>
      <c r="S54" s="331" t="s">
        <v>448</v>
      </c>
    </row>
    <row r="55" spans="1:19" ht="17.25">
      <c r="A55" s="153"/>
      <c r="B55" s="1227"/>
      <c r="C55" s="378">
        <v>7</v>
      </c>
      <c r="D55" s="1207"/>
      <c r="E55" s="1207"/>
      <c r="F55" s="1207"/>
      <c r="G55" s="1207"/>
      <c r="H55" s="1207"/>
      <c r="I55" s="1207"/>
      <c r="J55" s="785"/>
      <c r="K55" s="818" t="s">
        <v>320</v>
      </c>
      <c r="L55" s="379"/>
      <c r="M55" s="379"/>
      <c r="N55" s="435" t="str">
        <f t="shared" si="2"/>
        <v/>
      </c>
      <c r="O55" s="821" t="str">
        <f t="shared" si="0"/>
        <v/>
      </c>
      <c r="P55" s="437" t="str">
        <f t="shared" si="1"/>
        <v/>
      </c>
      <c r="Q55" s="2"/>
      <c r="R55"/>
      <c r="S55" s="331" t="s">
        <v>449</v>
      </c>
    </row>
    <row r="56" spans="1:19" ht="17.25">
      <c r="A56" s="153"/>
      <c r="B56" s="1227"/>
      <c r="C56" s="378">
        <v>8</v>
      </c>
      <c r="D56" s="1207"/>
      <c r="E56" s="1207"/>
      <c r="F56" s="1207"/>
      <c r="G56" s="1207"/>
      <c r="H56" s="1207"/>
      <c r="I56" s="1207"/>
      <c r="J56" s="785"/>
      <c r="K56" s="818" t="s">
        <v>320</v>
      </c>
      <c r="L56" s="379"/>
      <c r="M56" s="379"/>
      <c r="N56" s="435" t="str">
        <f t="shared" si="2"/>
        <v/>
      </c>
      <c r="O56" s="821" t="str">
        <f t="shared" si="0"/>
        <v/>
      </c>
      <c r="P56" s="437" t="str">
        <f t="shared" si="1"/>
        <v/>
      </c>
      <c r="Q56" s="2"/>
      <c r="R56"/>
      <c r="S56" s="331" t="s">
        <v>450</v>
      </c>
    </row>
    <row r="57" spans="1:19" ht="17.25">
      <c r="A57" s="153"/>
      <c r="B57" s="1227"/>
      <c r="C57" s="378">
        <v>9</v>
      </c>
      <c r="D57" s="1207"/>
      <c r="E57" s="1207"/>
      <c r="F57" s="1207"/>
      <c r="G57" s="1207"/>
      <c r="H57" s="1207"/>
      <c r="I57" s="1207"/>
      <c r="J57" s="785"/>
      <c r="K57" s="818" t="s">
        <v>320</v>
      </c>
      <c r="L57" s="379"/>
      <c r="M57" s="379"/>
      <c r="N57" s="435" t="str">
        <f t="shared" si="2"/>
        <v/>
      </c>
      <c r="O57" s="821" t="str">
        <f t="shared" si="0"/>
        <v/>
      </c>
      <c r="P57" s="437" t="str">
        <f t="shared" si="1"/>
        <v/>
      </c>
      <c r="Q57" s="2"/>
      <c r="R57"/>
      <c r="S57" s="331" t="s">
        <v>451</v>
      </c>
    </row>
    <row r="58" spans="1:19" ht="17.25">
      <c r="A58" s="153"/>
      <c r="B58" s="1227"/>
      <c r="C58" s="378">
        <v>10</v>
      </c>
      <c r="D58" s="1207"/>
      <c r="E58" s="1207"/>
      <c r="F58" s="1207"/>
      <c r="G58" s="1207"/>
      <c r="H58" s="1207"/>
      <c r="I58" s="1207"/>
      <c r="J58" s="785"/>
      <c r="K58" s="818" t="s">
        <v>320</v>
      </c>
      <c r="L58" s="379"/>
      <c r="M58" s="379"/>
      <c r="N58" s="435" t="str">
        <f t="shared" si="2"/>
        <v/>
      </c>
      <c r="O58" s="821" t="str">
        <f t="shared" si="0"/>
        <v/>
      </c>
      <c r="P58" s="437" t="str">
        <f t="shared" si="1"/>
        <v/>
      </c>
      <c r="Q58" s="2"/>
      <c r="R58"/>
    </row>
    <row r="59" spans="1:19" ht="17.25">
      <c r="A59" s="153"/>
      <c r="B59" s="1227"/>
      <c r="C59" s="378">
        <v>11</v>
      </c>
      <c r="D59" s="1207"/>
      <c r="E59" s="1207"/>
      <c r="F59" s="1207"/>
      <c r="G59" s="1207"/>
      <c r="H59" s="1207"/>
      <c r="I59" s="1207"/>
      <c r="J59" s="536"/>
      <c r="K59" s="818" t="s">
        <v>320</v>
      </c>
      <c r="L59" s="379"/>
      <c r="M59" s="379"/>
      <c r="N59" s="435" t="str">
        <f t="shared" si="2"/>
        <v/>
      </c>
      <c r="O59" s="821" t="str">
        <f t="shared" si="0"/>
        <v/>
      </c>
      <c r="P59" s="437" t="str">
        <f t="shared" si="1"/>
        <v/>
      </c>
      <c r="Q59" s="2"/>
      <c r="R59"/>
    </row>
    <row r="60" spans="1:19" ht="17.25">
      <c r="A60" s="153"/>
      <c r="B60" s="1227"/>
      <c r="C60" s="378">
        <v>12</v>
      </c>
      <c r="D60" s="1207"/>
      <c r="E60" s="1207"/>
      <c r="F60" s="1207"/>
      <c r="G60" s="1207"/>
      <c r="H60" s="1207"/>
      <c r="I60" s="1207"/>
      <c r="J60" s="536"/>
      <c r="K60" s="818" t="s">
        <v>320</v>
      </c>
      <c r="L60" s="379"/>
      <c r="M60" s="379"/>
      <c r="N60" s="435" t="str">
        <f t="shared" si="2"/>
        <v/>
      </c>
      <c r="O60" s="821" t="str">
        <f t="shared" si="0"/>
        <v/>
      </c>
      <c r="P60" s="437" t="str">
        <f t="shared" si="1"/>
        <v/>
      </c>
      <c r="Q60" s="2"/>
      <c r="R60"/>
      <c r="S60" s="331" t="s">
        <v>454</v>
      </c>
    </row>
    <row r="61" spans="1:19" ht="17.25">
      <c r="A61" s="153"/>
      <c r="B61" s="1227"/>
      <c r="C61" s="378">
        <v>13</v>
      </c>
      <c r="D61" s="1207"/>
      <c r="E61" s="1207"/>
      <c r="F61" s="1207"/>
      <c r="G61" s="1207"/>
      <c r="H61" s="1207"/>
      <c r="I61" s="1207"/>
      <c r="J61" s="536"/>
      <c r="K61" s="818" t="s">
        <v>320</v>
      </c>
      <c r="L61" s="379"/>
      <c r="M61" s="379"/>
      <c r="N61" s="435" t="str">
        <f t="shared" si="2"/>
        <v/>
      </c>
      <c r="O61" s="821" t="str">
        <f t="shared" si="0"/>
        <v/>
      </c>
      <c r="P61" s="437" t="str">
        <f t="shared" si="1"/>
        <v/>
      </c>
      <c r="Q61" s="2"/>
      <c r="R61"/>
      <c r="S61" s="331" t="s">
        <v>452</v>
      </c>
    </row>
    <row r="62" spans="1:19" ht="17.25">
      <c r="A62" s="153"/>
      <c r="B62" s="1227"/>
      <c r="C62" s="378">
        <v>14</v>
      </c>
      <c r="D62" s="1207"/>
      <c r="E62" s="1207"/>
      <c r="F62" s="1207"/>
      <c r="G62" s="1207"/>
      <c r="H62" s="1207"/>
      <c r="I62" s="1207"/>
      <c r="J62" s="749"/>
      <c r="K62" s="818" t="s">
        <v>320</v>
      </c>
      <c r="L62" s="379"/>
      <c r="M62" s="379"/>
      <c r="N62" s="435" t="str">
        <f t="shared" si="2"/>
        <v/>
      </c>
      <c r="O62" s="821" t="str">
        <f t="shared" si="0"/>
        <v/>
      </c>
      <c r="P62" s="437" t="str">
        <f t="shared" si="1"/>
        <v/>
      </c>
      <c r="Q62" s="2"/>
      <c r="R62"/>
    </row>
    <row r="63" spans="1:19" ht="17.25">
      <c r="A63" s="153"/>
      <c r="B63" s="1227"/>
      <c r="C63" s="378">
        <v>15</v>
      </c>
      <c r="D63" s="1207"/>
      <c r="E63" s="1207"/>
      <c r="F63" s="1207"/>
      <c r="G63" s="1207"/>
      <c r="H63" s="1207"/>
      <c r="I63" s="1207"/>
      <c r="J63" s="536"/>
      <c r="K63" s="818" t="s">
        <v>320</v>
      </c>
      <c r="L63" s="379"/>
      <c r="M63" s="379"/>
      <c r="N63" s="435" t="str">
        <f t="shared" si="2"/>
        <v/>
      </c>
      <c r="O63" s="821" t="str">
        <f t="shared" si="0"/>
        <v/>
      </c>
      <c r="P63" s="437" t="str">
        <f t="shared" si="1"/>
        <v/>
      </c>
      <c r="Q63" s="2"/>
      <c r="R63"/>
      <c r="S63" s="331" t="s">
        <v>688</v>
      </c>
    </row>
    <row r="64" spans="1:19" ht="17.25">
      <c r="A64" s="153"/>
      <c r="B64" s="1227"/>
      <c r="C64" s="378">
        <v>16</v>
      </c>
      <c r="D64" s="1207"/>
      <c r="E64" s="1207"/>
      <c r="F64" s="1207"/>
      <c r="G64" s="1207"/>
      <c r="H64" s="1207"/>
      <c r="I64" s="1207"/>
      <c r="J64" s="536"/>
      <c r="K64" s="818" t="s">
        <v>320</v>
      </c>
      <c r="L64" s="379"/>
      <c r="M64" s="379"/>
      <c r="N64" s="435" t="str">
        <f t="shared" si="2"/>
        <v/>
      </c>
      <c r="O64" s="821" t="str">
        <f t="shared" si="0"/>
        <v/>
      </c>
      <c r="P64" s="437" t="str">
        <f t="shared" si="1"/>
        <v/>
      </c>
      <c r="Q64" s="2"/>
      <c r="R64"/>
      <c r="S64" s="331" t="s">
        <v>689</v>
      </c>
    </row>
    <row r="65" spans="1:19" ht="17.25">
      <c r="A65" s="153"/>
      <c r="B65" s="1227"/>
      <c r="C65" s="378">
        <v>17</v>
      </c>
      <c r="D65" s="1207"/>
      <c r="E65" s="1207"/>
      <c r="F65" s="1207"/>
      <c r="G65" s="1207"/>
      <c r="H65" s="1207"/>
      <c r="I65" s="1207"/>
      <c r="J65" s="536"/>
      <c r="K65" s="818" t="s">
        <v>320</v>
      </c>
      <c r="L65" s="379"/>
      <c r="M65" s="379"/>
      <c r="N65" s="435" t="str">
        <f t="shared" si="2"/>
        <v/>
      </c>
      <c r="O65" s="821" t="str">
        <f t="shared" si="0"/>
        <v/>
      </c>
      <c r="P65" s="437" t="str">
        <f t="shared" si="1"/>
        <v/>
      </c>
      <c r="Q65" s="2"/>
      <c r="R65"/>
    </row>
    <row r="66" spans="1:19" ht="17.25">
      <c r="A66" s="153"/>
      <c r="B66" s="1227"/>
      <c r="C66" s="378">
        <v>18</v>
      </c>
      <c r="D66" s="1207"/>
      <c r="E66" s="1207"/>
      <c r="F66" s="1207"/>
      <c r="G66" s="1207"/>
      <c r="H66" s="1207"/>
      <c r="I66" s="1207"/>
      <c r="J66" s="536"/>
      <c r="K66" s="818" t="s">
        <v>320</v>
      </c>
      <c r="L66" s="379"/>
      <c r="M66" s="379"/>
      <c r="N66" s="435" t="str">
        <f t="shared" si="2"/>
        <v/>
      </c>
      <c r="O66" s="821" t="str">
        <f t="shared" si="0"/>
        <v/>
      </c>
      <c r="P66" s="437" t="str">
        <f t="shared" si="1"/>
        <v/>
      </c>
      <c r="Q66" s="2"/>
      <c r="R66"/>
      <c r="S66" s="621" t="s">
        <v>588</v>
      </c>
    </row>
    <row r="67" spans="1:19" ht="17.25">
      <c r="A67" s="153"/>
      <c r="B67" s="1227"/>
      <c r="C67" s="378">
        <v>19</v>
      </c>
      <c r="D67" s="1207"/>
      <c r="E67" s="1207"/>
      <c r="F67" s="1207"/>
      <c r="G67" s="1207"/>
      <c r="H67" s="1207"/>
      <c r="I67" s="1207"/>
      <c r="J67" s="536"/>
      <c r="K67" s="818" t="s">
        <v>320</v>
      </c>
      <c r="L67" s="379"/>
      <c r="M67" s="379"/>
      <c r="N67" s="435" t="str">
        <f t="shared" si="2"/>
        <v/>
      </c>
      <c r="O67" s="821" t="str">
        <f t="shared" si="0"/>
        <v/>
      </c>
      <c r="P67" s="437" t="str">
        <f t="shared" si="1"/>
        <v/>
      </c>
      <c r="Q67" s="2"/>
      <c r="R67"/>
    </row>
    <row r="68" spans="1:19" ht="17.25">
      <c r="A68" s="153"/>
      <c r="B68" s="1238"/>
      <c r="C68" s="378">
        <v>20</v>
      </c>
      <c r="D68" s="1207"/>
      <c r="E68" s="1207"/>
      <c r="F68" s="1207"/>
      <c r="G68" s="1207"/>
      <c r="H68" s="1207"/>
      <c r="I68" s="1207"/>
      <c r="J68" s="536"/>
      <c r="K68" s="818" t="s">
        <v>320</v>
      </c>
      <c r="L68" s="379"/>
      <c r="M68" s="379"/>
      <c r="N68" s="435" t="str">
        <f t="shared" si="2"/>
        <v/>
      </c>
      <c r="O68" s="821" t="str">
        <f t="shared" si="0"/>
        <v/>
      </c>
      <c r="P68" s="437" t="str">
        <f t="shared" si="1"/>
        <v/>
      </c>
      <c r="Q68" s="2"/>
      <c r="R68"/>
      <c r="S68" s="331" t="s">
        <v>594</v>
      </c>
    </row>
    <row r="69" spans="1:19" ht="17.25">
      <c r="A69" s="153"/>
      <c r="B69" s="1208" t="s">
        <v>323</v>
      </c>
      <c r="C69" s="1209"/>
      <c r="D69" s="1209"/>
      <c r="E69" s="1209"/>
      <c r="F69" s="1209"/>
      <c r="G69" s="1209"/>
      <c r="H69" s="1209"/>
      <c r="I69" s="1209"/>
      <c r="J69" s="1209"/>
      <c r="K69" s="1209"/>
      <c r="L69" s="1209"/>
      <c r="M69" s="1210"/>
      <c r="N69" s="380">
        <f>ROUND(SUM(N70:N89)/365,2)</f>
        <v>4.43</v>
      </c>
      <c r="O69" s="380">
        <f>ROUND(SUM(O70:O89)/365,2)</f>
        <v>3.55</v>
      </c>
      <c r="P69" s="753"/>
      <c r="Q69" s="2"/>
      <c r="R69"/>
      <c r="S69" s="331" t="s">
        <v>595</v>
      </c>
    </row>
    <row r="70" spans="1:19" ht="17.25" customHeight="1">
      <c r="A70" s="153"/>
      <c r="B70" s="1211" t="s">
        <v>473</v>
      </c>
      <c r="C70" s="378">
        <v>1</v>
      </c>
      <c r="D70" s="1207" t="s">
        <v>570</v>
      </c>
      <c r="E70" s="1207"/>
      <c r="F70" s="1207"/>
      <c r="G70" s="1207"/>
      <c r="H70" s="1207" t="s">
        <v>438</v>
      </c>
      <c r="I70" s="1207"/>
      <c r="J70" s="439" t="s">
        <v>447</v>
      </c>
      <c r="K70" s="818" t="s">
        <v>320</v>
      </c>
      <c r="L70" s="379">
        <v>43831</v>
      </c>
      <c r="M70" s="379">
        <v>45322</v>
      </c>
      <c r="N70" s="435">
        <f>IF(D70="","",M70-L70+1)</f>
        <v>1492</v>
      </c>
      <c r="O70" s="822">
        <f t="shared" ref="O70:O89" si="3">IF(N70="","",N70*0.8)</f>
        <v>1193.6000000000001</v>
      </c>
      <c r="P70" s="437" t="str">
        <f t="shared" ref="P70:P89" si="4">IF(D70="","",IF(J70="비상주감리","5개소중복가능",IF(J70="부분상주감리","-",IF(L70&gt;M69,"적정","중복"))))</f>
        <v>적정</v>
      </c>
      <c r="Q70" s="2"/>
      <c r="R70"/>
    </row>
    <row r="71" spans="1:19" ht="17.25">
      <c r="A71" s="153"/>
      <c r="B71" s="1212"/>
      <c r="C71" s="378">
        <v>2</v>
      </c>
      <c r="D71" s="1207" t="s">
        <v>570</v>
      </c>
      <c r="E71" s="1207"/>
      <c r="F71" s="1207"/>
      <c r="G71" s="1207"/>
      <c r="H71" s="1207" t="s">
        <v>438</v>
      </c>
      <c r="I71" s="1207"/>
      <c r="J71" s="750" t="s">
        <v>447</v>
      </c>
      <c r="K71" s="818" t="s">
        <v>320</v>
      </c>
      <c r="L71" s="379">
        <v>45301</v>
      </c>
      <c r="M71" s="379">
        <v>45342</v>
      </c>
      <c r="N71" s="435">
        <f>IF(D71="","",M71-L71+1)</f>
        <v>42</v>
      </c>
      <c r="O71" s="822">
        <f t="shared" si="3"/>
        <v>33.6</v>
      </c>
      <c r="P71" s="437" t="str">
        <f t="shared" si="4"/>
        <v>중복</v>
      </c>
      <c r="Q71" s="2"/>
      <c r="R71"/>
    </row>
    <row r="72" spans="1:19" ht="17.25">
      <c r="A72" s="153"/>
      <c r="B72" s="1212"/>
      <c r="C72" s="378">
        <v>3</v>
      </c>
      <c r="D72" s="1207" t="s">
        <v>570</v>
      </c>
      <c r="E72" s="1207"/>
      <c r="F72" s="1207"/>
      <c r="G72" s="1207"/>
      <c r="H72" s="1207" t="s">
        <v>438</v>
      </c>
      <c r="I72" s="1207"/>
      <c r="J72" s="785" t="s">
        <v>447</v>
      </c>
      <c r="K72" s="818" t="s">
        <v>320</v>
      </c>
      <c r="L72" s="379">
        <v>45301</v>
      </c>
      <c r="M72" s="379">
        <v>45342</v>
      </c>
      <c r="N72" s="435">
        <f t="shared" ref="N72:N89" si="5">IF(D72="","",M72-L72+1)</f>
        <v>42</v>
      </c>
      <c r="O72" s="822">
        <f t="shared" si="3"/>
        <v>33.6</v>
      </c>
      <c r="P72" s="437" t="str">
        <f t="shared" si="4"/>
        <v>중복</v>
      </c>
      <c r="Q72" s="2"/>
      <c r="R72"/>
    </row>
    <row r="73" spans="1:19" ht="17.25">
      <c r="A73" s="153"/>
      <c r="B73" s="1212"/>
      <c r="C73" s="378">
        <v>4</v>
      </c>
      <c r="D73" s="1207" t="s">
        <v>570</v>
      </c>
      <c r="E73" s="1207"/>
      <c r="F73" s="1207"/>
      <c r="G73" s="1207"/>
      <c r="H73" s="1207" t="s">
        <v>438</v>
      </c>
      <c r="I73" s="1207"/>
      <c r="J73" s="785" t="s">
        <v>447</v>
      </c>
      <c r="K73" s="818" t="s">
        <v>320</v>
      </c>
      <c r="L73" s="379">
        <v>45301</v>
      </c>
      <c r="M73" s="379">
        <v>45342</v>
      </c>
      <c r="N73" s="435">
        <f t="shared" si="5"/>
        <v>42</v>
      </c>
      <c r="O73" s="822">
        <f t="shared" si="3"/>
        <v>33.6</v>
      </c>
      <c r="P73" s="437" t="str">
        <f t="shared" si="4"/>
        <v>중복</v>
      </c>
      <c r="Q73" s="2"/>
      <c r="R73"/>
    </row>
    <row r="74" spans="1:19" ht="17.25">
      <c r="A74" s="153"/>
      <c r="B74" s="1212"/>
      <c r="C74" s="378">
        <v>5</v>
      </c>
      <c r="D74" s="1207"/>
      <c r="E74" s="1207"/>
      <c r="F74" s="1207"/>
      <c r="G74" s="1207"/>
      <c r="H74" s="1207"/>
      <c r="I74" s="1207"/>
      <c r="J74" s="785"/>
      <c r="K74" s="818" t="s">
        <v>320</v>
      </c>
      <c r="L74" s="379"/>
      <c r="M74" s="379"/>
      <c r="N74" s="435" t="str">
        <f t="shared" si="5"/>
        <v/>
      </c>
      <c r="O74" s="822" t="str">
        <f t="shared" si="3"/>
        <v/>
      </c>
      <c r="P74" s="437" t="str">
        <f t="shared" si="4"/>
        <v/>
      </c>
      <c r="Q74" s="2"/>
      <c r="R74"/>
    </row>
    <row r="75" spans="1:19" ht="17.25">
      <c r="A75" s="153"/>
      <c r="B75" s="1212"/>
      <c r="C75" s="378">
        <v>6</v>
      </c>
      <c r="D75" s="1207"/>
      <c r="E75" s="1207"/>
      <c r="F75" s="1207"/>
      <c r="G75" s="1207"/>
      <c r="H75" s="1207"/>
      <c r="I75" s="1207"/>
      <c r="J75" s="785"/>
      <c r="K75" s="818" t="s">
        <v>320</v>
      </c>
      <c r="L75" s="379"/>
      <c r="M75" s="379"/>
      <c r="N75" s="435" t="str">
        <f t="shared" si="5"/>
        <v/>
      </c>
      <c r="O75" s="822" t="str">
        <f t="shared" si="3"/>
        <v/>
      </c>
      <c r="P75" s="437" t="str">
        <f t="shared" si="4"/>
        <v/>
      </c>
      <c r="Q75" s="2"/>
      <c r="R75"/>
    </row>
    <row r="76" spans="1:19" ht="17.25">
      <c r="A76" s="153"/>
      <c r="B76" s="1212"/>
      <c r="C76" s="378">
        <v>7</v>
      </c>
      <c r="D76" s="1207"/>
      <c r="E76" s="1207"/>
      <c r="F76" s="1207"/>
      <c r="G76" s="1207"/>
      <c r="H76" s="1207"/>
      <c r="I76" s="1207"/>
      <c r="J76" s="785"/>
      <c r="K76" s="818" t="s">
        <v>320</v>
      </c>
      <c r="L76" s="379"/>
      <c r="M76" s="379"/>
      <c r="N76" s="435" t="str">
        <f t="shared" si="5"/>
        <v/>
      </c>
      <c r="O76" s="822" t="str">
        <f t="shared" si="3"/>
        <v/>
      </c>
      <c r="P76" s="437" t="str">
        <f t="shared" si="4"/>
        <v/>
      </c>
      <c r="Q76" s="2"/>
      <c r="R76"/>
    </row>
    <row r="77" spans="1:19" ht="17.25">
      <c r="A77" s="153"/>
      <c r="B77" s="1212"/>
      <c r="C77" s="378">
        <v>8</v>
      </c>
      <c r="D77" s="1207"/>
      <c r="E77" s="1207"/>
      <c r="F77" s="1207"/>
      <c r="G77" s="1207"/>
      <c r="H77" s="1207"/>
      <c r="I77" s="1207"/>
      <c r="J77" s="785"/>
      <c r="K77" s="818" t="s">
        <v>320</v>
      </c>
      <c r="L77" s="379"/>
      <c r="M77" s="379"/>
      <c r="N77" s="435" t="str">
        <f t="shared" si="5"/>
        <v/>
      </c>
      <c r="O77" s="822" t="str">
        <f t="shared" si="3"/>
        <v/>
      </c>
      <c r="P77" s="437" t="str">
        <f t="shared" si="4"/>
        <v/>
      </c>
      <c r="Q77" s="2"/>
      <c r="R77"/>
    </row>
    <row r="78" spans="1:19" ht="17.25">
      <c r="A78" s="153"/>
      <c r="B78" s="1212"/>
      <c r="C78" s="378">
        <v>9</v>
      </c>
      <c r="D78" s="1207"/>
      <c r="E78" s="1207"/>
      <c r="F78" s="1207"/>
      <c r="G78" s="1207"/>
      <c r="H78" s="1207"/>
      <c r="I78" s="1207"/>
      <c r="J78" s="785"/>
      <c r="K78" s="818" t="s">
        <v>320</v>
      </c>
      <c r="L78" s="379"/>
      <c r="M78" s="379"/>
      <c r="N78" s="435" t="str">
        <f t="shared" si="5"/>
        <v/>
      </c>
      <c r="O78" s="822" t="str">
        <f t="shared" si="3"/>
        <v/>
      </c>
      <c r="P78" s="437" t="str">
        <f t="shared" si="4"/>
        <v/>
      </c>
      <c r="Q78" s="2"/>
      <c r="R78"/>
    </row>
    <row r="79" spans="1:19" ht="17.25">
      <c r="A79" s="153"/>
      <c r="B79" s="1212"/>
      <c r="C79" s="378">
        <v>10</v>
      </c>
      <c r="D79" s="1207"/>
      <c r="E79" s="1207"/>
      <c r="F79" s="1207"/>
      <c r="G79" s="1207"/>
      <c r="H79" s="1207"/>
      <c r="I79" s="1207"/>
      <c r="J79" s="785"/>
      <c r="K79" s="818" t="s">
        <v>320</v>
      </c>
      <c r="L79" s="379"/>
      <c r="M79" s="379"/>
      <c r="N79" s="435" t="str">
        <f t="shared" si="5"/>
        <v/>
      </c>
      <c r="O79" s="822" t="str">
        <f t="shared" si="3"/>
        <v/>
      </c>
      <c r="P79" s="437" t="str">
        <f t="shared" si="4"/>
        <v/>
      </c>
      <c r="Q79" s="2"/>
      <c r="R79"/>
    </row>
    <row r="80" spans="1:19" ht="17.25">
      <c r="A80" s="153"/>
      <c r="B80" s="1212"/>
      <c r="C80" s="378">
        <v>11</v>
      </c>
      <c r="D80" s="1207"/>
      <c r="E80" s="1207"/>
      <c r="F80" s="1207"/>
      <c r="G80" s="1207"/>
      <c r="H80" s="1207"/>
      <c r="I80" s="1207"/>
      <c r="J80" s="785"/>
      <c r="K80" s="818" t="s">
        <v>320</v>
      </c>
      <c r="L80" s="379"/>
      <c r="M80" s="379"/>
      <c r="N80" s="435" t="str">
        <f t="shared" si="5"/>
        <v/>
      </c>
      <c r="O80" s="822" t="str">
        <f t="shared" si="3"/>
        <v/>
      </c>
      <c r="P80" s="437" t="str">
        <f t="shared" si="4"/>
        <v/>
      </c>
      <c r="Q80" s="2"/>
      <c r="R80"/>
    </row>
    <row r="81" spans="1:18" ht="17.25">
      <c r="A81" s="153"/>
      <c r="B81" s="1212"/>
      <c r="C81" s="378">
        <v>12</v>
      </c>
      <c r="D81" s="1207"/>
      <c r="E81" s="1207"/>
      <c r="F81" s="1207"/>
      <c r="G81" s="1207"/>
      <c r="H81" s="1207"/>
      <c r="I81" s="1207"/>
      <c r="J81" s="785"/>
      <c r="K81" s="818" t="s">
        <v>320</v>
      </c>
      <c r="L81" s="379"/>
      <c r="M81" s="379"/>
      <c r="N81" s="435" t="str">
        <f t="shared" si="5"/>
        <v/>
      </c>
      <c r="O81" s="822" t="str">
        <f t="shared" si="3"/>
        <v/>
      </c>
      <c r="P81" s="437" t="str">
        <f t="shared" si="4"/>
        <v/>
      </c>
      <c r="Q81" s="2"/>
      <c r="R81"/>
    </row>
    <row r="82" spans="1:18" ht="17.25">
      <c r="A82" s="153"/>
      <c r="B82" s="1212"/>
      <c r="C82" s="378">
        <v>13</v>
      </c>
      <c r="D82" s="1207"/>
      <c r="E82" s="1207"/>
      <c r="F82" s="1207"/>
      <c r="G82" s="1207"/>
      <c r="H82" s="1207"/>
      <c r="I82" s="1207"/>
      <c r="J82" s="785"/>
      <c r="K82" s="818" t="s">
        <v>320</v>
      </c>
      <c r="L82" s="379"/>
      <c r="M82" s="379"/>
      <c r="N82" s="435" t="str">
        <f t="shared" si="5"/>
        <v/>
      </c>
      <c r="O82" s="822" t="str">
        <f t="shared" si="3"/>
        <v/>
      </c>
      <c r="P82" s="437" t="str">
        <f t="shared" si="4"/>
        <v/>
      </c>
      <c r="Q82" s="2"/>
      <c r="R82"/>
    </row>
    <row r="83" spans="1:18" ht="17.25">
      <c r="A83" s="153"/>
      <c r="B83" s="1212"/>
      <c r="C83" s="378">
        <v>14</v>
      </c>
      <c r="D83" s="1207"/>
      <c r="E83" s="1207"/>
      <c r="F83" s="1207"/>
      <c r="G83" s="1207"/>
      <c r="H83" s="1207"/>
      <c r="I83" s="1207"/>
      <c r="J83" s="785"/>
      <c r="K83" s="818" t="s">
        <v>320</v>
      </c>
      <c r="L83" s="379"/>
      <c r="M83" s="379"/>
      <c r="N83" s="435" t="str">
        <f t="shared" si="5"/>
        <v/>
      </c>
      <c r="O83" s="822" t="str">
        <f t="shared" si="3"/>
        <v/>
      </c>
      <c r="P83" s="437" t="str">
        <f t="shared" si="4"/>
        <v/>
      </c>
      <c r="Q83" s="2"/>
      <c r="R83"/>
    </row>
    <row r="84" spans="1:18" ht="17.25">
      <c r="A84" s="153"/>
      <c r="B84" s="1212"/>
      <c r="C84" s="378">
        <v>15</v>
      </c>
      <c r="D84" s="1207"/>
      <c r="E84" s="1207"/>
      <c r="F84" s="1207"/>
      <c r="G84" s="1207"/>
      <c r="H84" s="1207"/>
      <c r="I84" s="1207"/>
      <c r="J84" s="785"/>
      <c r="K84" s="818" t="s">
        <v>320</v>
      </c>
      <c r="L84" s="379"/>
      <c r="M84" s="379"/>
      <c r="N84" s="435" t="str">
        <f t="shared" si="5"/>
        <v/>
      </c>
      <c r="O84" s="822" t="str">
        <f t="shared" si="3"/>
        <v/>
      </c>
      <c r="P84" s="437" t="str">
        <f t="shared" si="4"/>
        <v/>
      </c>
      <c r="Q84" s="2"/>
      <c r="R84"/>
    </row>
    <row r="85" spans="1:18" ht="17.25">
      <c r="A85" s="153"/>
      <c r="B85" s="1212"/>
      <c r="C85" s="378">
        <v>16</v>
      </c>
      <c r="D85" s="1207"/>
      <c r="E85" s="1207"/>
      <c r="F85" s="1207"/>
      <c r="G85" s="1207"/>
      <c r="H85" s="1207"/>
      <c r="I85" s="1207"/>
      <c r="J85" s="785"/>
      <c r="K85" s="818" t="s">
        <v>320</v>
      </c>
      <c r="L85" s="379"/>
      <c r="M85" s="379"/>
      <c r="N85" s="435" t="str">
        <f t="shared" si="5"/>
        <v/>
      </c>
      <c r="O85" s="822" t="str">
        <f t="shared" si="3"/>
        <v/>
      </c>
      <c r="P85" s="437" t="str">
        <f t="shared" si="4"/>
        <v/>
      </c>
      <c r="Q85" s="2"/>
      <c r="R85"/>
    </row>
    <row r="86" spans="1:18" ht="17.25">
      <c r="A86" s="153"/>
      <c r="B86" s="1212"/>
      <c r="C86" s="378">
        <v>17</v>
      </c>
      <c r="D86" s="1207"/>
      <c r="E86" s="1207"/>
      <c r="F86" s="1207"/>
      <c r="G86" s="1207"/>
      <c r="H86" s="1207"/>
      <c r="I86" s="1207"/>
      <c r="J86" s="785"/>
      <c r="K86" s="818" t="s">
        <v>320</v>
      </c>
      <c r="L86" s="379"/>
      <c r="M86" s="379"/>
      <c r="N86" s="435" t="str">
        <f t="shared" si="5"/>
        <v/>
      </c>
      <c r="O86" s="822" t="str">
        <f t="shared" si="3"/>
        <v/>
      </c>
      <c r="P86" s="437" t="str">
        <f t="shared" si="4"/>
        <v/>
      </c>
      <c r="Q86" s="2"/>
      <c r="R86"/>
    </row>
    <row r="87" spans="1:18" ht="17.25">
      <c r="A87" s="153"/>
      <c r="B87" s="1212"/>
      <c r="C87" s="378">
        <v>18</v>
      </c>
      <c r="D87" s="1207"/>
      <c r="E87" s="1207"/>
      <c r="F87" s="1207"/>
      <c r="G87" s="1207"/>
      <c r="H87" s="1207"/>
      <c r="I87" s="1207"/>
      <c r="J87" s="785"/>
      <c r="K87" s="818" t="s">
        <v>320</v>
      </c>
      <c r="L87" s="379"/>
      <c r="M87" s="379"/>
      <c r="N87" s="435" t="str">
        <f t="shared" si="5"/>
        <v/>
      </c>
      <c r="O87" s="822" t="str">
        <f t="shared" si="3"/>
        <v/>
      </c>
      <c r="P87" s="437" t="str">
        <f t="shared" si="4"/>
        <v/>
      </c>
      <c r="Q87" s="2"/>
      <c r="R87"/>
    </row>
    <row r="88" spans="1:18" ht="17.25">
      <c r="A88" s="153"/>
      <c r="B88" s="1212"/>
      <c r="C88" s="378">
        <v>19</v>
      </c>
      <c r="D88" s="1207"/>
      <c r="E88" s="1207"/>
      <c r="F88" s="1207"/>
      <c r="G88" s="1207"/>
      <c r="H88" s="1207"/>
      <c r="I88" s="1207"/>
      <c r="J88" s="785"/>
      <c r="K88" s="818" t="s">
        <v>320</v>
      </c>
      <c r="L88" s="379"/>
      <c r="M88" s="379"/>
      <c r="N88" s="435" t="str">
        <f t="shared" si="5"/>
        <v/>
      </c>
      <c r="O88" s="822" t="str">
        <f t="shared" si="3"/>
        <v/>
      </c>
      <c r="P88" s="437" t="str">
        <f t="shared" si="4"/>
        <v/>
      </c>
      <c r="Q88" s="2"/>
      <c r="R88"/>
    </row>
    <row r="89" spans="1:18" ht="18" thickBot="1">
      <c r="A89" s="153"/>
      <c r="B89" s="1260"/>
      <c r="C89" s="433">
        <v>20</v>
      </c>
      <c r="D89" s="1229"/>
      <c r="E89" s="1229"/>
      <c r="F89" s="1229"/>
      <c r="G89" s="1229"/>
      <c r="H89" s="1229"/>
      <c r="I89" s="1229"/>
      <c r="J89" s="537"/>
      <c r="K89" s="819" t="s">
        <v>320</v>
      </c>
      <c r="L89" s="434"/>
      <c r="M89" s="434"/>
      <c r="N89" s="436" t="str">
        <f t="shared" si="5"/>
        <v/>
      </c>
      <c r="O89" s="823" t="str">
        <f t="shared" si="3"/>
        <v/>
      </c>
      <c r="P89" s="438" t="str">
        <f t="shared" si="4"/>
        <v/>
      </c>
      <c r="Q89" s="2"/>
      <c r="R89"/>
    </row>
    <row r="90" spans="1:18" ht="19.5">
      <c r="A90" s="153"/>
      <c r="B90" s="159"/>
      <c r="C90" s="153"/>
      <c r="D90" s="153"/>
      <c r="E90" s="153"/>
      <c r="F90" s="154"/>
      <c r="G90" s="154"/>
      <c r="H90" s="154"/>
      <c r="I90" s="154"/>
      <c r="J90" s="154"/>
      <c r="K90" s="155"/>
      <c r="L90" s="40"/>
      <c r="M90" s="160"/>
      <c r="N90" s="161"/>
      <c r="O90" s="162"/>
      <c r="P90" s="162"/>
      <c r="Q90" s="2"/>
      <c r="R90"/>
    </row>
    <row r="91" spans="1:18" ht="18" thickBot="1">
      <c r="A91" s="153"/>
      <c r="B91" s="619" t="str">
        <f>"- 보조감리원 : "&amp;'참여감리원 현황'!D9</f>
        <v>- 보조감리원 : -</v>
      </c>
      <c r="C91" s="620"/>
      <c r="D91" s="620"/>
      <c r="E91" s="153"/>
      <c r="F91" s="154"/>
      <c r="G91" s="154"/>
      <c r="H91" s="154"/>
      <c r="I91" s="154"/>
      <c r="J91" s="154"/>
      <c r="K91" s="155"/>
      <c r="L91" s="40"/>
      <c r="M91" s="160"/>
      <c r="N91" s="161"/>
      <c r="O91" s="162"/>
      <c r="P91" s="162"/>
      <c r="Q91" s="2"/>
      <c r="R91"/>
    </row>
    <row r="92" spans="1:18" ht="17.25">
      <c r="A92" s="153"/>
      <c r="B92" s="1239" t="s">
        <v>97</v>
      </c>
      <c r="C92" s="1240" t="s">
        <v>217</v>
      </c>
      <c r="D92" s="1257" t="s">
        <v>315</v>
      </c>
      <c r="E92" s="1258"/>
      <c r="F92" s="1258"/>
      <c r="G92" s="1259"/>
      <c r="H92" s="1257" t="s">
        <v>316</v>
      </c>
      <c r="I92" s="1259"/>
      <c r="J92" s="1240" t="s">
        <v>215</v>
      </c>
      <c r="K92" s="1240" t="s">
        <v>317</v>
      </c>
      <c r="L92" s="1254" t="s">
        <v>8</v>
      </c>
      <c r="M92" s="1255"/>
      <c r="N92" s="1256"/>
      <c r="O92" s="1241" t="s">
        <v>216</v>
      </c>
      <c r="P92" s="1214" t="s">
        <v>690</v>
      </c>
      <c r="Q92" s="2"/>
      <c r="R92"/>
    </row>
    <row r="93" spans="1:18" ht="18" thickBot="1">
      <c r="A93" s="153"/>
      <c r="B93" s="1225"/>
      <c r="C93" s="1217"/>
      <c r="D93" s="1221"/>
      <c r="E93" s="1222"/>
      <c r="F93" s="1222"/>
      <c r="G93" s="1223"/>
      <c r="H93" s="1221"/>
      <c r="I93" s="1223"/>
      <c r="J93" s="1217"/>
      <c r="K93" s="1217"/>
      <c r="L93" s="581" t="s">
        <v>9</v>
      </c>
      <c r="M93" s="581" t="s">
        <v>10</v>
      </c>
      <c r="N93" s="582" t="s">
        <v>318</v>
      </c>
      <c r="O93" s="1242"/>
      <c r="P93" s="1215"/>
      <c r="Q93" s="2"/>
      <c r="R93"/>
    </row>
    <row r="94" spans="1:18" ht="18" thickTop="1">
      <c r="A94" s="153"/>
      <c r="B94" s="1243" t="s">
        <v>72</v>
      </c>
      <c r="C94" s="1244"/>
      <c r="D94" s="1244"/>
      <c r="E94" s="1244"/>
      <c r="F94" s="1244"/>
      <c r="G94" s="1244"/>
      <c r="H94" s="1244"/>
      <c r="I94" s="1244"/>
      <c r="J94" s="1244"/>
      <c r="K94" s="1244"/>
      <c r="L94" s="1244"/>
      <c r="M94" s="1244"/>
      <c r="N94" s="580">
        <f>N95+N106</f>
        <v>4.4300000000000006</v>
      </c>
      <c r="O94" s="580">
        <f>O95+O106</f>
        <v>4.3900000000000006</v>
      </c>
      <c r="P94" s="754"/>
      <c r="Q94" s="2"/>
      <c r="R94"/>
    </row>
    <row r="95" spans="1:18" ht="17.25">
      <c r="A95" s="153"/>
      <c r="B95" s="1233" t="s">
        <v>321</v>
      </c>
      <c r="C95" s="1234"/>
      <c r="D95" s="1234"/>
      <c r="E95" s="1234"/>
      <c r="F95" s="1234"/>
      <c r="G95" s="1234"/>
      <c r="H95" s="1234"/>
      <c r="I95" s="1234"/>
      <c r="J95" s="1234"/>
      <c r="K95" s="1234"/>
      <c r="L95" s="1234"/>
      <c r="M95" s="1234"/>
      <c r="N95" s="380">
        <f>ROUND(SUM(N96:N105)/365,2)</f>
        <v>4.2300000000000004</v>
      </c>
      <c r="O95" s="380">
        <f>ROUND(SUM(O96:O105)/365,2)</f>
        <v>4.2300000000000004</v>
      </c>
      <c r="P95" s="753"/>
      <c r="Q95" s="2"/>
      <c r="R95"/>
    </row>
    <row r="96" spans="1:18" ht="17.25">
      <c r="A96" s="153"/>
      <c r="B96" s="1211" t="s">
        <v>446</v>
      </c>
      <c r="C96" s="378">
        <v>1</v>
      </c>
      <c r="D96" s="1207" t="s">
        <v>570</v>
      </c>
      <c r="E96" s="1207"/>
      <c r="F96" s="1207"/>
      <c r="G96" s="1207"/>
      <c r="H96" s="1207" t="s">
        <v>324</v>
      </c>
      <c r="I96" s="1207"/>
      <c r="J96" s="536" t="s">
        <v>371</v>
      </c>
      <c r="K96" s="818" t="s">
        <v>320</v>
      </c>
      <c r="L96" s="379">
        <v>43840</v>
      </c>
      <c r="M96" s="379">
        <v>45342</v>
      </c>
      <c r="N96" s="435">
        <f>IF(D96="","",M96-L96+1)</f>
        <v>1503</v>
      </c>
      <c r="O96" s="821">
        <f t="shared" ref="O96:O105" si="6">IF(J96="비상주감리",N96*0.2,IF(J96="부분상주감리","직접입력", N96))</f>
        <v>1503</v>
      </c>
      <c r="P96" s="437" t="str">
        <f t="shared" ref="P96:P105" si="7">IF(D96="","",IF(J96="비상주감리","5개소중복가능",IF(J96="부분상주감리","-",IF(L96&gt;M95,"적정","중복"))))</f>
        <v>적정</v>
      </c>
      <c r="Q96" s="2"/>
      <c r="R96"/>
    </row>
    <row r="97" spans="1:18" ht="17.25">
      <c r="A97" s="153"/>
      <c r="B97" s="1212"/>
      <c r="C97" s="378">
        <v>2</v>
      </c>
      <c r="D97" s="1207" t="s">
        <v>570</v>
      </c>
      <c r="E97" s="1207"/>
      <c r="F97" s="1207"/>
      <c r="G97" s="1207"/>
      <c r="H97" s="1207" t="s">
        <v>324</v>
      </c>
      <c r="I97" s="1207"/>
      <c r="J97" s="629" t="s">
        <v>371</v>
      </c>
      <c r="K97" s="818" t="s">
        <v>320</v>
      </c>
      <c r="L97" s="379">
        <v>45301</v>
      </c>
      <c r="M97" s="379">
        <v>45342</v>
      </c>
      <c r="N97" s="435">
        <f t="shared" ref="N97:N105" si="8">IF(D97="","",M97-L97+1)</f>
        <v>42</v>
      </c>
      <c r="O97" s="821">
        <f t="shared" si="6"/>
        <v>42</v>
      </c>
      <c r="P97" s="437" t="str">
        <f t="shared" si="7"/>
        <v>중복</v>
      </c>
      <c r="Q97" s="2"/>
      <c r="R97"/>
    </row>
    <row r="98" spans="1:18" ht="17.25">
      <c r="A98" s="153"/>
      <c r="B98" s="1212"/>
      <c r="C98" s="378">
        <v>3</v>
      </c>
      <c r="D98" s="1207"/>
      <c r="E98" s="1207"/>
      <c r="F98" s="1207"/>
      <c r="G98" s="1207"/>
      <c r="H98" s="1207"/>
      <c r="I98" s="1207"/>
      <c r="J98" s="536"/>
      <c r="K98" s="818" t="s">
        <v>320</v>
      </c>
      <c r="L98" s="379"/>
      <c r="M98" s="379"/>
      <c r="N98" s="435" t="str">
        <f t="shared" si="8"/>
        <v/>
      </c>
      <c r="O98" s="821" t="str">
        <f t="shared" si="6"/>
        <v/>
      </c>
      <c r="P98" s="437" t="str">
        <f t="shared" si="7"/>
        <v/>
      </c>
      <c r="Q98" s="2"/>
      <c r="R98"/>
    </row>
    <row r="99" spans="1:18" ht="17.25">
      <c r="A99" s="153"/>
      <c r="B99" s="1212"/>
      <c r="C99" s="378">
        <v>4</v>
      </c>
      <c r="D99" s="1207"/>
      <c r="E99" s="1207"/>
      <c r="F99" s="1207"/>
      <c r="G99" s="1207"/>
      <c r="H99" s="1207"/>
      <c r="I99" s="1207"/>
      <c r="J99" s="536"/>
      <c r="K99" s="818" t="s">
        <v>320</v>
      </c>
      <c r="L99" s="379"/>
      <c r="M99" s="379"/>
      <c r="N99" s="435" t="str">
        <f t="shared" si="8"/>
        <v/>
      </c>
      <c r="O99" s="821" t="str">
        <f t="shared" si="6"/>
        <v/>
      </c>
      <c r="P99" s="437" t="str">
        <f t="shared" si="7"/>
        <v/>
      </c>
      <c r="Q99" s="2"/>
      <c r="R99"/>
    </row>
    <row r="100" spans="1:18" ht="17.25">
      <c r="A100" s="153"/>
      <c r="B100" s="1212"/>
      <c r="C100" s="378">
        <v>5</v>
      </c>
      <c r="D100" s="1207"/>
      <c r="E100" s="1207"/>
      <c r="F100" s="1207"/>
      <c r="G100" s="1207"/>
      <c r="H100" s="1207"/>
      <c r="I100" s="1207"/>
      <c r="J100" s="536"/>
      <c r="K100" s="818" t="s">
        <v>320</v>
      </c>
      <c r="L100" s="379"/>
      <c r="M100" s="379"/>
      <c r="N100" s="435" t="str">
        <f t="shared" si="8"/>
        <v/>
      </c>
      <c r="O100" s="821" t="str">
        <f t="shared" si="6"/>
        <v/>
      </c>
      <c r="P100" s="437" t="str">
        <f t="shared" si="7"/>
        <v/>
      </c>
      <c r="Q100" s="2"/>
      <c r="R100"/>
    </row>
    <row r="101" spans="1:18" ht="17.25">
      <c r="A101" s="153"/>
      <c r="B101" s="1212"/>
      <c r="C101" s="378">
        <v>6</v>
      </c>
      <c r="D101" s="1207"/>
      <c r="E101" s="1207"/>
      <c r="F101" s="1207"/>
      <c r="G101" s="1207"/>
      <c r="H101" s="1207"/>
      <c r="I101" s="1207"/>
      <c r="J101" s="536"/>
      <c r="K101" s="818" t="s">
        <v>320</v>
      </c>
      <c r="L101" s="379"/>
      <c r="M101" s="379"/>
      <c r="N101" s="435" t="str">
        <f t="shared" si="8"/>
        <v/>
      </c>
      <c r="O101" s="821" t="str">
        <f t="shared" si="6"/>
        <v/>
      </c>
      <c r="P101" s="437" t="str">
        <f t="shared" si="7"/>
        <v/>
      </c>
      <c r="Q101" s="2"/>
      <c r="R101"/>
    </row>
    <row r="102" spans="1:18" ht="17.25">
      <c r="A102" s="153"/>
      <c r="B102" s="1212"/>
      <c r="C102" s="378">
        <v>7</v>
      </c>
      <c r="D102" s="1207"/>
      <c r="E102" s="1207"/>
      <c r="F102" s="1207"/>
      <c r="G102" s="1207"/>
      <c r="H102" s="1207"/>
      <c r="I102" s="1207"/>
      <c r="J102" s="536"/>
      <c r="K102" s="818" t="s">
        <v>320</v>
      </c>
      <c r="L102" s="379"/>
      <c r="M102" s="379"/>
      <c r="N102" s="435" t="str">
        <f t="shared" si="8"/>
        <v/>
      </c>
      <c r="O102" s="821" t="str">
        <f t="shared" si="6"/>
        <v/>
      </c>
      <c r="P102" s="437" t="str">
        <f t="shared" si="7"/>
        <v/>
      </c>
      <c r="Q102" s="2"/>
      <c r="R102"/>
    </row>
    <row r="103" spans="1:18" ht="17.25">
      <c r="A103" s="153"/>
      <c r="B103" s="1212"/>
      <c r="C103" s="378">
        <v>8</v>
      </c>
      <c r="D103" s="1207"/>
      <c r="E103" s="1207"/>
      <c r="F103" s="1207"/>
      <c r="G103" s="1207"/>
      <c r="H103" s="1207"/>
      <c r="I103" s="1207"/>
      <c r="J103" s="536"/>
      <c r="K103" s="818" t="s">
        <v>320</v>
      </c>
      <c r="L103" s="379"/>
      <c r="M103" s="379"/>
      <c r="N103" s="435" t="str">
        <f t="shared" si="8"/>
        <v/>
      </c>
      <c r="O103" s="821" t="str">
        <f t="shared" si="6"/>
        <v/>
      </c>
      <c r="P103" s="437" t="str">
        <f t="shared" si="7"/>
        <v/>
      </c>
      <c r="Q103" s="2"/>
      <c r="R103"/>
    </row>
    <row r="104" spans="1:18" ht="17.25">
      <c r="A104" s="153"/>
      <c r="B104" s="1212"/>
      <c r="C104" s="378">
        <v>9</v>
      </c>
      <c r="D104" s="1207"/>
      <c r="E104" s="1207"/>
      <c r="F104" s="1207"/>
      <c r="G104" s="1207"/>
      <c r="H104" s="1207"/>
      <c r="I104" s="1207"/>
      <c r="J104" s="536"/>
      <c r="K104" s="818" t="s">
        <v>320</v>
      </c>
      <c r="L104" s="379"/>
      <c r="M104" s="379"/>
      <c r="N104" s="435" t="str">
        <f t="shared" si="8"/>
        <v/>
      </c>
      <c r="O104" s="821" t="str">
        <f t="shared" si="6"/>
        <v/>
      </c>
      <c r="P104" s="437" t="str">
        <f t="shared" si="7"/>
        <v/>
      </c>
      <c r="Q104" s="2"/>
      <c r="R104"/>
    </row>
    <row r="105" spans="1:18" ht="17.25">
      <c r="A105" s="153"/>
      <c r="B105" s="1213"/>
      <c r="C105" s="378">
        <v>10</v>
      </c>
      <c r="D105" s="1207"/>
      <c r="E105" s="1207"/>
      <c r="F105" s="1207"/>
      <c r="G105" s="1207"/>
      <c r="H105" s="1207"/>
      <c r="I105" s="1207"/>
      <c r="J105" s="536"/>
      <c r="K105" s="818" t="s">
        <v>320</v>
      </c>
      <c r="L105" s="379"/>
      <c r="M105" s="379"/>
      <c r="N105" s="435" t="str">
        <f t="shared" si="8"/>
        <v/>
      </c>
      <c r="O105" s="821" t="str">
        <f t="shared" si="6"/>
        <v/>
      </c>
      <c r="P105" s="437" t="str">
        <f t="shared" si="7"/>
        <v/>
      </c>
      <c r="Q105" s="2"/>
      <c r="R105"/>
    </row>
    <row r="106" spans="1:18" ht="17.25">
      <c r="A106" s="153"/>
      <c r="B106" s="1208" t="s">
        <v>323</v>
      </c>
      <c r="C106" s="1209"/>
      <c r="D106" s="1209"/>
      <c r="E106" s="1209"/>
      <c r="F106" s="1209"/>
      <c r="G106" s="1209"/>
      <c r="H106" s="1209"/>
      <c r="I106" s="1209"/>
      <c r="J106" s="1209"/>
      <c r="K106" s="1209"/>
      <c r="L106" s="1209"/>
      <c r="M106" s="1210"/>
      <c r="N106" s="380">
        <f>ROUND(SUM(N107:N116)/365,2)</f>
        <v>0.2</v>
      </c>
      <c r="O106" s="380">
        <f>ROUND(SUM(O107:O116)/365,2)</f>
        <v>0.16</v>
      </c>
      <c r="P106" s="753"/>
      <c r="Q106" s="2"/>
      <c r="R106"/>
    </row>
    <row r="107" spans="1:18" ht="17.25" customHeight="1">
      <c r="A107" s="153"/>
      <c r="B107" s="1226" t="s">
        <v>679</v>
      </c>
      <c r="C107" s="378">
        <v>1</v>
      </c>
      <c r="D107" s="1207" t="s">
        <v>570</v>
      </c>
      <c r="E107" s="1207"/>
      <c r="F107" s="1207"/>
      <c r="G107" s="1207"/>
      <c r="H107" s="1207" t="s">
        <v>438</v>
      </c>
      <c r="I107" s="1207"/>
      <c r="J107" s="536" t="s">
        <v>447</v>
      </c>
      <c r="K107" s="818" t="s">
        <v>320</v>
      </c>
      <c r="L107" s="379">
        <v>45292</v>
      </c>
      <c r="M107" s="379">
        <v>45322</v>
      </c>
      <c r="N107" s="435">
        <f>IF(D107="","",M107-L107+1)</f>
        <v>31</v>
      </c>
      <c r="O107" s="822">
        <f t="shared" ref="O107:O116" si="9">IF(N107="","",N107*0.8)</f>
        <v>24.8</v>
      </c>
      <c r="P107" s="437" t="str">
        <f t="shared" ref="P107:P116" si="10">IF(D107="","",IF(J107="비상주감리","5개소중복가능",IF(J107="부분상주감리","-",IF(L107&gt;M106,"적정","중복"))))</f>
        <v>적정</v>
      </c>
      <c r="Q107" s="2"/>
      <c r="R107"/>
    </row>
    <row r="108" spans="1:18" ht="17.25">
      <c r="A108" s="153"/>
      <c r="B108" s="1227"/>
      <c r="C108" s="378">
        <v>2</v>
      </c>
      <c r="D108" s="1207" t="s">
        <v>570</v>
      </c>
      <c r="E108" s="1207"/>
      <c r="F108" s="1207"/>
      <c r="G108" s="1207"/>
      <c r="H108" s="1207" t="s">
        <v>438</v>
      </c>
      <c r="I108" s="1207"/>
      <c r="J108" s="629" t="s">
        <v>447</v>
      </c>
      <c r="K108" s="818" t="s">
        <v>320</v>
      </c>
      <c r="L108" s="379">
        <v>45301</v>
      </c>
      <c r="M108" s="379">
        <v>45342</v>
      </c>
      <c r="N108" s="435">
        <f t="shared" ref="N108:N116" si="11">IF(D108="","",M108-L108+1)</f>
        <v>42</v>
      </c>
      <c r="O108" s="822">
        <f t="shared" si="9"/>
        <v>33.6</v>
      </c>
      <c r="P108" s="437" t="str">
        <f t="shared" si="10"/>
        <v>중복</v>
      </c>
      <c r="Q108" s="2"/>
      <c r="R108"/>
    </row>
    <row r="109" spans="1:18" ht="17.25">
      <c r="A109" s="153"/>
      <c r="B109" s="1227"/>
      <c r="C109" s="378">
        <v>3</v>
      </c>
      <c r="D109" s="1207"/>
      <c r="E109" s="1207"/>
      <c r="F109" s="1207"/>
      <c r="G109" s="1207"/>
      <c r="H109" s="1207"/>
      <c r="I109" s="1207"/>
      <c r="J109" s="536"/>
      <c r="K109" s="818" t="s">
        <v>320</v>
      </c>
      <c r="L109" s="379"/>
      <c r="M109" s="379"/>
      <c r="N109" s="435" t="str">
        <f t="shared" si="11"/>
        <v/>
      </c>
      <c r="O109" s="822" t="str">
        <f t="shared" si="9"/>
        <v/>
      </c>
      <c r="P109" s="437" t="str">
        <f t="shared" si="10"/>
        <v/>
      </c>
      <c r="Q109" s="2"/>
      <c r="R109"/>
    </row>
    <row r="110" spans="1:18" ht="17.25">
      <c r="A110" s="153"/>
      <c r="B110" s="1227"/>
      <c r="C110" s="378">
        <v>4</v>
      </c>
      <c r="D110" s="1207"/>
      <c r="E110" s="1207"/>
      <c r="F110" s="1207"/>
      <c r="G110" s="1207"/>
      <c r="H110" s="1207"/>
      <c r="I110" s="1207"/>
      <c r="J110" s="536"/>
      <c r="K110" s="818" t="s">
        <v>320</v>
      </c>
      <c r="L110" s="379"/>
      <c r="M110" s="379"/>
      <c r="N110" s="435" t="str">
        <f t="shared" si="11"/>
        <v/>
      </c>
      <c r="O110" s="822" t="str">
        <f t="shared" si="9"/>
        <v/>
      </c>
      <c r="P110" s="437" t="str">
        <f t="shared" si="10"/>
        <v/>
      </c>
      <c r="Q110" s="2"/>
      <c r="R110"/>
    </row>
    <row r="111" spans="1:18" ht="17.25">
      <c r="A111" s="153"/>
      <c r="B111" s="1227"/>
      <c r="C111" s="378">
        <v>5</v>
      </c>
      <c r="D111" s="1207"/>
      <c r="E111" s="1207"/>
      <c r="F111" s="1207"/>
      <c r="G111" s="1207"/>
      <c r="H111" s="1207"/>
      <c r="I111" s="1207"/>
      <c r="J111" s="536"/>
      <c r="K111" s="818" t="s">
        <v>320</v>
      </c>
      <c r="L111" s="379"/>
      <c r="M111" s="379"/>
      <c r="N111" s="435" t="str">
        <f t="shared" si="11"/>
        <v/>
      </c>
      <c r="O111" s="822" t="str">
        <f t="shared" si="9"/>
        <v/>
      </c>
      <c r="P111" s="437" t="str">
        <f t="shared" si="10"/>
        <v/>
      </c>
      <c r="Q111" s="2"/>
      <c r="R111"/>
    </row>
    <row r="112" spans="1:18" ht="17.25">
      <c r="A112" s="153"/>
      <c r="B112" s="1227"/>
      <c r="C112" s="378">
        <v>6</v>
      </c>
      <c r="D112" s="1207"/>
      <c r="E112" s="1207"/>
      <c r="F112" s="1207"/>
      <c r="G112" s="1207"/>
      <c r="H112" s="1207"/>
      <c r="I112" s="1207"/>
      <c r="J112" s="536"/>
      <c r="K112" s="818" t="s">
        <v>320</v>
      </c>
      <c r="L112" s="379"/>
      <c r="M112" s="379"/>
      <c r="N112" s="435" t="str">
        <f t="shared" si="11"/>
        <v/>
      </c>
      <c r="O112" s="822" t="str">
        <f t="shared" si="9"/>
        <v/>
      </c>
      <c r="P112" s="437" t="str">
        <f t="shared" si="10"/>
        <v/>
      </c>
      <c r="Q112" s="2"/>
      <c r="R112"/>
    </row>
    <row r="113" spans="1:18" ht="17.25">
      <c r="A113" s="153"/>
      <c r="B113" s="1227"/>
      <c r="C113" s="378">
        <v>7</v>
      </c>
      <c r="D113" s="1207"/>
      <c r="E113" s="1207"/>
      <c r="F113" s="1207"/>
      <c r="G113" s="1207"/>
      <c r="H113" s="1207"/>
      <c r="I113" s="1207"/>
      <c r="J113" s="536"/>
      <c r="K113" s="818" t="s">
        <v>320</v>
      </c>
      <c r="L113" s="379"/>
      <c r="M113" s="379"/>
      <c r="N113" s="435" t="str">
        <f t="shared" si="11"/>
        <v/>
      </c>
      <c r="O113" s="822" t="str">
        <f t="shared" si="9"/>
        <v/>
      </c>
      <c r="P113" s="437" t="str">
        <f t="shared" si="10"/>
        <v/>
      </c>
      <c r="Q113" s="2"/>
      <c r="R113"/>
    </row>
    <row r="114" spans="1:18" ht="17.25">
      <c r="A114" s="153"/>
      <c r="B114" s="1227"/>
      <c r="C114" s="378">
        <v>8</v>
      </c>
      <c r="D114" s="1207"/>
      <c r="E114" s="1207"/>
      <c r="F114" s="1207"/>
      <c r="G114" s="1207"/>
      <c r="H114" s="1207"/>
      <c r="I114" s="1207"/>
      <c r="J114" s="536"/>
      <c r="K114" s="818" t="s">
        <v>320</v>
      </c>
      <c r="L114" s="379"/>
      <c r="M114" s="379"/>
      <c r="N114" s="435" t="str">
        <f t="shared" si="11"/>
        <v/>
      </c>
      <c r="O114" s="822" t="str">
        <f t="shared" si="9"/>
        <v/>
      </c>
      <c r="P114" s="437" t="str">
        <f t="shared" si="10"/>
        <v/>
      </c>
      <c r="Q114" s="2"/>
      <c r="R114"/>
    </row>
    <row r="115" spans="1:18" ht="17.25">
      <c r="A115" s="153"/>
      <c r="B115" s="1227"/>
      <c r="C115" s="378">
        <v>9</v>
      </c>
      <c r="D115" s="1207"/>
      <c r="E115" s="1207"/>
      <c r="F115" s="1207"/>
      <c r="G115" s="1207"/>
      <c r="H115" s="1207"/>
      <c r="I115" s="1207"/>
      <c r="J115" s="536"/>
      <c r="K115" s="818" t="s">
        <v>320</v>
      </c>
      <c r="L115" s="379"/>
      <c r="M115" s="379"/>
      <c r="N115" s="435" t="str">
        <f t="shared" si="11"/>
        <v/>
      </c>
      <c r="O115" s="822" t="str">
        <f t="shared" si="9"/>
        <v/>
      </c>
      <c r="P115" s="437" t="str">
        <f t="shared" si="10"/>
        <v/>
      </c>
      <c r="Q115" s="2"/>
      <c r="R115"/>
    </row>
    <row r="116" spans="1:18" ht="18" thickBot="1">
      <c r="A116" s="153"/>
      <c r="B116" s="1228"/>
      <c r="C116" s="433">
        <v>10</v>
      </c>
      <c r="D116" s="1229"/>
      <c r="E116" s="1229"/>
      <c r="F116" s="1229"/>
      <c r="G116" s="1229"/>
      <c r="H116" s="1229"/>
      <c r="I116" s="1229"/>
      <c r="J116" s="537"/>
      <c r="K116" s="819" t="s">
        <v>624</v>
      </c>
      <c r="L116" s="434"/>
      <c r="M116" s="434"/>
      <c r="N116" s="436" t="str">
        <f t="shared" si="11"/>
        <v/>
      </c>
      <c r="O116" s="823" t="str">
        <f t="shared" si="9"/>
        <v/>
      </c>
      <c r="P116" s="438" t="str">
        <f t="shared" si="10"/>
        <v/>
      </c>
      <c r="Q116" s="2"/>
      <c r="R116"/>
    </row>
    <row r="117" spans="1:18" ht="19.5">
      <c r="A117" s="153"/>
      <c r="B117" s="159"/>
      <c r="C117" s="153"/>
      <c r="D117" s="153"/>
      <c r="E117" s="153"/>
      <c r="F117" s="154"/>
      <c r="G117" s="154"/>
      <c r="H117" s="154"/>
      <c r="I117" s="154"/>
      <c r="J117" s="154"/>
      <c r="K117" s="155"/>
      <c r="L117" s="40"/>
      <c r="M117" s="160"/>
      <c r="N117" s="161"/>
      <c r="O117" s="162"/>
      <c r="P117" s="162"/>
      <c r="Q117" s="2"/>
      <c r="R117"/>
    </row>
    <row r="118" spans="1:18" ht="18" thickBot="1">
      <c r="A118" s="153"/>
      <c r="B118" s="619" t="str">
        <f>"- 보조감리원 : "&amp;'참여감리원 현황'!D10</f>
        <v>- 보조감리원 : -</v>
      </c>
      <c r="C118" s="620"/>
      <c r="D118" s="647"/>
      <c r="E118" s="648"/>
      <c r="F118" s="649"/>
      <c r="G118" s="649"/>
      <c r="H118" s="154"/>
      <c r="I118" s="154"/>
      <c r="J118" s="154"/>
      <c r="K118" s="155"/>
      <c r="L118" s="40"/>
      <c r="M118" s="160"/>
      <c r="N118" s="161"/>
      <c r="O118" s="162"/>
      <c r="P118" s="162"/>
      <c r="Q118" s="2"/>
      <c r="R118"/>
    </row>
    <row r="119" spans="1:18" ht="17.25">
      <c r="A119" s="153"/>
      <c r="B119" s="1239" t="s">
        <v>97</v>
      </c>
      <c r="C119" s="1240" t="s">
        <v>217</v>
      </c>
      <c r="D119" s="1218" t="s">
        <v>315</v>
      </c>
      <c r="E119" s="1219"/>
      <c r="F119" s="1219"/>
      <c r="G119" s="1220"/>
      <c r="H119" s="1257" t="s">
        <v>316</v>
      </c>
      <c r="I119" s="1259"/>
      <c r="J119" s="1240" t="s">
        <v>215</v>
      </c>
      <c r="K119" s="1240" t="s">
        <v>317</v>
      </c>
      <c r="L119" s="1254" t="s">
        <v>8</v>
      </c>
      <c r="M119" s="1255"/>
      <c r="N119" s="1256"/>
      <c r="O119" s="1241" t="s">
        <v>216</v>
      </c>
      <c r="P119" s="1214" t="s">
        <v>690</v>
      </c>
      <c r="Q119" s="2"/>
      <c r="R119"/>
    </row>
    <row r="120" spans="1:18" ht="18" thickBot="1">
      <c r="A120" s="153"/>
      <c r="B120" s="1225"/>
      <c r="C120" s="1217"/>
      <c r="D120" s="1221"/>
      <c r="E120" s="1222"/>
      <c r="F120" s="1222"/>
      <c r="G120" s="1223"/>
      <c r="H120" s="1221"/>
      <c r="I120" s="1223"/>
      <c r="J120" s="1217"/>
      <c r="K120" s="1217"/>
      <c r="L120" s="581" t="s">
        <v>9</v>
      </c>
      <c r="M120" s="581" t="s">
        <v>10</v>
      </c>
      <c r="N120" s="582" t="s">
        <v>318</v>
      </c>
      <c r="O120" s="1242"/>
      <c r="P120" s="1215"/>
      <c r="Q120" s="2"/>
      <c r="R120"/>
    </row>
    <row r="121" spans="1:18" ht="18" thickTop="1">
      <c r="A121" s="153"/>
      <c r="B121" s="1243" t="s">
        <v>72</v>
      </c>
      <c r="C121" s="1244"/>
      <c r="D121" s="1244"/>
      <c r="E121" s="1244"/>
      <c r="F121" s="1244"/>
      <c r="G121" s="1244"/>
      <c r="H121" s="1244"/>
      <c r="I121" s="1244"/>
      <c r="J121" s="1244"/>
      <c r="K121" s="1244"/>
      <c r="L121" s="1244"/>
      <c r="M121" s="1244"/>
      <c r="N121" s="580">
        <f>N122+N133</f>
        <v>1.83</v>
      </c>
      <c r="O121" s="580">
        <f>O122+O133</f>
        <v>1.71</v>
      </c>
      <c r="P121" s="755"/>
      <c r="Q121" s="2"/>
      <c r="R121"/>
    </row>
    <row r="122" spans="1:18" ht="17.25">
      <c r="A122" s="153"/>
      <c r="B122" s="1233" t="s">
        <v>321</v>
      </c>
      <c r="C122" s="1234"/>
      <c r="D122" s="1234"/>
      <c r="E122" s="1234"/>
      <c r="F122" s="1234"/>
      <c r="G122" s="1234"/>
      <c r="H122" s="1234"/>
      <c r="I122" s="1234"/>
      <c r="J122" s="1234"/>
      <c r="K122" s="1234"/>
      <c r="L122" s="1234"/>
      <c r="M122" s="1234"/>
      <c r="N122" s="380">
        <f>ROUND(SUM(N123:N132)/365,2)</f>
        <v>1.2</v>
      </c>
      <c r="O122" s="380">
        <f>ROUND(SUM(O123:O132)/365,2)</f>
        <v>1.2</v>
      </c>
      <c r="P122" s="756"/>
      <c r="Q122" s="2"/>
      <c r="R122"/>
    </row>
    <row r="123" spans="1:18" ht="17.25" customHeight="1">
      <c r="A123" s="153"/>
      <c r="B123" s="1211" t="s">
        <v>446</v>
      </c>
      <c r="C123" s="378">
        <v>1</v>
      </c>
      <c r="D123" s="1207" t="s">
        <v>570</v>
      </c>
      <c r="E123" s="1207"/>
      <c r="F123" s="1207"/>
      <c r="G123" s="1207"/>
      <c r="H123" s="1207" t="s">
        <v>324</v>
      </c>
      <c r="I123" s="1207"/>
      <c r="J123" s="536" t="s">
        <v>371</v>
      </c>
      <c r="K123" s="818" t="s">
        <v>320</v>
      </c>
      <c r="L123" s="379">
        <v>45292</v>
      </c>
      <c r="M123" s="379">
        <v>45322</v>
      </c>
      <c r="N123" s="435">
        <f>IF(D123="","",M123-L123+1)</f>
        <v>31</v>
      </c>
      <c r="O123" s="821">
        <f t="shared" ref="O123:O132" si="12">IF(J123="비상주감리",N123*0.2,IF(J123="부분상주감리","직접입력", N123))</f>
        <v>31</v>
      </c>
      <c r="P123" s="437" t="str">
        <f t="shared" ref="P123:P132" si="13">IF(D123="","",IF(J123="비상주감리","5개소중복가능",IF(J123="부분상주감리","-",IF(L123&gt;M122,"적정","중복"))))</f>
        <v>적정</v>
      </c>
      <c r="Q123" s="2"/>
      <c r="R123"/>
    </row>
    <row r="124" spans="1:18" ht="17.25">
      <c r="A124" s="153"/>
      <c r="B124" s="1212"/>
      <c r="C124" s="378">
        <v>2</v>
      </c>
      <c r="D124" s="1207" t="s">
        <v>570</v>
      </c>
      <c r="E124" s="1207"/>
      <c r="F124" s="1207"/>
      <c r="G124" s="1207"/>
      <c r="H124" s="1207" t="s">
        <v>324</v>
      </c>
      <c r="I124" s="1207"/>
      <c r="J124" s="629" t="s">
        <v>371</v>
      </c>
      <c r="K124" s="818" t="s">
        <v>320</v>
      </c>
      <c r="L124" s="379">
        <v>44936</v>
      </c>
      <c r="M124" s="379">
        <v>45342</v>
      </c>
      <c r="N124" s="435">
        <f t="shared" ref="N124:N132" si="14">IF(D124="","",M124-L124+1)</f>
        <v>407</v>
      </c>
      <c r="O124" s="821">
        <f t="shared" si="12"/>
        <v>407</v>
      </c>
      <c r="P124" s="437" t="str">
        <f t="shared" si="13"/>
        <v>중복</v>
      </c>
      <c r="Q124" s="2"/>
      <c r="R124"/>
    </row>
    <row r="125" spans="1:18" ht="17.25">
      <c r="A125" s="153"/>
      <c r="B125" s="1212"/>
      <c r="C125" s="378">
        <v>3</v>
      </c>
      <c r="D125" s="1230"/>
      <c r="E125" s="1231"/>
      <c r="F125" s="1231"/>
      <c r="G125" s="1232"/>
      <c r="H125" s="1207"/>
      <c r="I125" s="1207"/>
      <c r="J125" s="536"/>
      <c r="K125" s="818" t="s">
        <v>320</v>
      </c>
      <c r="L125" s="379"/>
      <c r="M125" s="379"/>
      <c r="N125" s="435" t="str">
        <f t="shared" si="14"/>
        <v/>
      </c>
      <c r="O125" s="821" t="str">
        <f t="shared" si="12"/>
        <v/>
      </c>
      <c r="P125" s="437" t="str">
        <f t="shared" si="13"/>
        <v/>
      </c>
      <c r="Q125" s="2"/>
      <c r="R125"/>
    </row>
    <row r="126" spans="1:18" ht="17.25">
      <c r="A126" s="153"/>
      <c r="B126" s="1212"/>
      <c r="C126" s="378">
        <v>4</v>
      </c>
      <c r="D126" s="1230"/>
      <c r="E126" s="1231"/>
      <c r="F126" s="1231"/>
      <c r="G126" s="1232"/>
      <c r="H126" s="1207"/>
      <c r="I126" s="1207"/>
      <c r="J126" s="536"/>
      <c r="K126" s="818" t="s">
        <v>320</v>
      </c>
      <c r="L126" s="379"/>
      <c r="M126" s="379"/>
      <c r="N126" s="435" t="str">
        <f t="shared" si="14"/>
        <v/>
      </c>
      <c r="O126" s="821" t="str">
        <f t="shared" si="12"/>
        <v/>
      </c>
      <c r="P126" s="437" t="str">
        <f t="shared" si="13"/>
        <v/>
      </c>
      <c r="Q126" s="2"/>
      <c r="R126"/>
    </row>
    <row r="127" spans="1:18" ht="17.25">
      <c r="A127" s="153"/>
      <c r="B127" s="1212"/>
      <c r="C127" s="378">
        <v>5</v>
      </c>
      <c r="D127" s="1230"/>
      <c r="E127" s="1231"/>
      <c r="F127" s="1231"/>
      <c r="G127" s="1232"/>
      <c r="H127" s="1207"/>
      <c r="I127" s="1207"/>
      <c r="J127" s="536"/>
      <c r="K127" s="818" t="s">
        <v>320</v>
      </c>
      <c r="L127" s="379"/>
      <c r="M127" s="379"/>
      <c r="N127" s="435" t="str">
        <f t="shared" si="14"/>
        <v/>
      </c>
      <c r="O127" s="821" t="str">
        <f t="shared" si="12"/>
        <v/>
      </c>
      <c r="P127" s="437" t="str">
        <f t="shared" si="13"/>
        <v/>
      </c>
      <c r="Q127" s="2"/>
      <c r="R127"/>
    </row>
    <row r="128" spans="1:18" ht="17.25">
      <c r="A128" s="153"/>
      <c r="B128" s="1212"/>
      <c r="C128" s="378">
        <v>6</v>
      </c>
      <c r="D128" s="1207"/>
      <c r="E128" s="1207"/>
      <c r="F128" s="1207"/>
      <c r="G128" s="1207"/>
      <c r="H128" s="1207"/>
      <c r="I128" s="1207"/>
      <c r="J128" s="536"/>
      <c r="K128" s="818" t="s">
        <v>320</v>
      </c>
      <c r="L128" s="379"/>
      <c r="M128" s="379"/>
      <c r="N128" s="435" t="str">
        <f t="shared" si="14"/>
        <v/>
      </c>
      <c r="O128" s="821" t="str">
        <f t="shared" si="12"/>
        <v/>
      </c>
      <c r="P128" s="437" t="str">
        <f t="shared" si="13"/>
        <v/>
      </c>
      <c r="Q128" s="2"/>
      <c r="R128"/>
    </row>
    <row r="129" spans="1:18" ht="17.25">
      <c r="A129" s="153"/>
      <c r="B129" s="1212"/>
      <c r="C129" s="378">
        <v>7</v>
      </c>
      <c r="D129" s="1207"/>
      <c r="E129" s="1207"/>
      <c r="F129" s="1207"/>
      <c r="G129" s="1207"/>
      <c r="H129" s="1207"/>
      <c r="I129" s="1207"/>
      <c r="J129" s="536"/>
      <c r="K129" s="818" t="s">
        <v>320</v>
      </c>
      <c r="L129" s="379"/>
      <c r="M129" s="379"/>
      <c r="N129" s="435" t="str">
        <f t="shared" si="14"/>
        <v/>
      </c>
      <c r="O129" s="821" t="str">
        <f t="shared" si="12"/>
        <v/>
      </c>
      <c r="P129" s="437" t="str">
        <f t="shared" si="13"/>
        <v/>
      </c>
      <c r="Q129" s="2"/>
      <c r="R129"/>
    </row>
    <row r="130" spans="1:18" ht="17.25">
      <c r="A130" s="153"/>
      <c r="B130" s="1212"/>
      <c r="C130" s="378">
        <v>8</v>
      </c>
      <c r="D130" s="1207"/>
      <c r="E130" s="1207"/>
      <c r="F130" s="1207"/>
      <c r="G130" s="1207"/>
      <c r="H130" s="1207"/>
      <c r="I130" s="1207"/>
      <c r="J130" s="536"/>
      <c r="K130" s="818" t="s">
        <v>320</v>
      </c>
      <c r="L130" s="379"/>
      <c r="M130" s="379"/>
      <c r="N130" s="435" t="str">
        <f t="shared" si="14"/>
        <v/>
      </c>
      <c r="O130" s="821" t="str">
        <f t="shared" si="12"/>
        <v/>
      </c>
      <c r="P130" s="437" t="str">
        <f t="shared" si="13"/>
        <v/>
      </c>
      <c r="Q130" s="2"/>
      <c r="R130"/>
    </row>
    <row r="131" spans="1:18" ht="17.25">
      <c r="A131" s="153"/>
      <c r="B131" s="1212"/>
      <c r="C131" s="378">
        <v>9</v>
      </c>
      <c r="D131" s="1207"/>
      <c r="E131" s="1207"/>
      <c r="F131" s="1207"/>
      <c r="G131" s="1207"/>
      <c r="H131" s="1207"/>
      <c r="I131" s="1207"/>
      <c r="J131" s="536"/>
      <c r="K131" s="818" t="s">
        <v>320</v>
      </c>
      <c r="L131" s="379"/>
      <c r="M131" s="379"/>
      <c r="N131" s="435" t="str">
        <f t="shared" si="14"/>
        <v/>
      </c>
      <c r="O131" s="821" t="str">
        <f t="shared" si="12"/>
        <v/>
      </c>
      <c r="P131" s="437" t="str">
        <f t="shared" si="13"/>
        <v/>
      </c>
      <c r="Q131" s="2"/>
      <c r="R131"/>
    </row>
    <row r="132" spans="1:18" ht="17.25">
      <c r="A132" s="153"/>
      <c r="B132" s="1213"/>
      <c r="C132" s="378">
        <v>10</v>
      </c>
      <c r="D132" s="1207"/>
      <c r="E132" s="1207"/>
      <c r="F132" s="1207"/>
      <c r="G132" s="1207"/>
      <c r="H132" s="1207"/>
      <c r="I132" s="1207"/>
      <c r="J132" s="536"/>
      <c r="K132" s="818" t="s">
        <v>320</v>
      </c>
      <c r="L132" s="379"/>
      <c r="M132" s="379"/>
      <c r="N132" s="435" t="str">
        <f t="shared" si="14"/>
        <v/>
      </c>
      <c r="O132" s="821" t="str">
        <f t="shared" si="12"/>
        <v/>
      </c>
      <c r="P132" s="437" t="str">
        <f t="shared" si="13"/>
        <v/>
      </c>
      <c r="Q132" s="2"/>
      <c r="R132"/>
    </row>
    <row r="133" spans="1:18" ht="17.25">
      <c r="A133" s="153"/>
      <c r="B133" s="1208" t="s">
        <v>323</v>
      </c>
      <c r="C133" s="1209"/>
      <c r="D133" s="1209"/>
      <c r="E133" s="1209"/>
      <c r="F133" s="1209"/>
      <c r="G133" s="1209"/>
      <c r="H133" s="1209"/>
      <c r="I133" s="1209"/>
      <c r="J133" s="1209"/>
      <c r="K133" s="1209"/>
      <c r="L133" s="1209"/>
      <c r="M133" s="1210"/>
      <c r="N133" s="380">
        <f>ROUND(SUM(N134:N143)/365,2)</f>
        <v>0.63</v>
      </c>
      <c r="O133" s="380">
        <f>ROUND(SUM(O134:O143)/365,2)</f>
        <v>0.51</v>
      </c>
      <c r="P133" s="756"/>
      <c r="Q133" s="2"/>
      <c r="R133"/>
    </row>
    <row r="134" spans="1:18" ht="17.25" customHeight="1">
      <c r="A134" s="153"/>
      <c r="B134" s="1226" t="s">
        <v>679</v>
      </c>
      <c r="C134" s="378">
        <v>1</v>
      </c>
      <c r="D134" s="1207" t="s">
        <v>570</v>
      </c>
      <c r="E134" s="1207"/>
      <c r="F134" s="1207"/>
      <c r="G134" s="1207"/>
      <c r="H134" s="1207" t="s">
        <v>438</v>
      </c>
      <c r="I134" s="1207"/>
      <c r="J134" s="536" t="s">
        <v>447</v>
      </c>
      <c r="K134" s="818" t="s">
        <v>320</v>
      </c>
      <c r="L134" s="379">
        <v>45292</v>
      </c>
      <c r="M134" s="379">
        <v>45322</v>
      </c>
      <c r="N134" s="435">
        <f>IF(D134="","",M134-L134+1)</f>
        <v>31</v>
      </c>
      <c r="O134" s="822">
        <f t="shared" ref="O134:O143" si="15">IF(N134="","",N134*0.8)</f>
        <v>24.8</v>
      </c>
      <c r="P134" s="437" t="str">
        <f t="shared" ref="P134:P143" si="16">IF(D134="","",IF(J134="비상주감리","5개소중복가능",IF(J134="부분상주감리","-",IF(L134&gt;M133,"적정","중복"))))</f>
        <v>적정</v>
      </c>
      <c r="Q134" s="2"/>
      <c r="R134"/>
    </row>
    <row r="135" spans="1:18" ht="17.25">
      <c r="A135" s="153"/>
      <c r="B135" s="1227"/>
      <c r="C135" s="378">
        <v>2</v>
      </c>
      <c r="D135" s="1207" t="s">
        <v>570</v>
      </c>
      <c r="E135" s="1207"/>
      <c r="F135" s="1207"/>
      <c r="G135" s="1207"/>
      <c r="H135" s="1207" t="s">
        <v>438</v>
      </c>
      <c r="I135" s="1207"/>
      <c r="J135" s="629" t="s">
        <v>447</v>
      </c>
      <c r="K135" s="818" t="s">
        <v>320</v>
      </c>
      <c r="L135" s="379">
        <v>45301</v>
      </c>
      <c r="M135" s="379">
        <v>45342</v>
      </c>
      <c r="N135" s="435">
        <f t="shared" ref="N135:N143" si="17">IF(D135="","",M135-L135+1)</f>
        <v>42</v>
      </c>
      <c r="O135" s="822">
        <f t="shared" si="15"/>
        <v>33.6</v>
      </c>
      <c r="P135" s="437" t="str">
        <f t="shared" si="16"/>
        <v>중복</v>
      </c>
      <c r="Q135" s="2"/>
      <c r="R135"/>
    </row>
    <row r="136" spans="1:18" ht="17.25">
      <c r="A136" s="153"/>
      <c r="B136" s="1227"/>
      <c r="C136" s="378">
        <v>3</v>
      </c>
      <c r="D136" s="1207" t="s">
        <v>570</v>
      </c>
      <c r="E136" s="1207"/>
      <c r="F136" s="1207"/>
      <c r="G136" s="1207"/>
      <c r="H136" s="1207" t="s">
        <v>438</v>
      </c>
      <c r="I136" s="1207"/>
      <c r="J136" s="881" t="s">
        <v>681</v>
      </c>
      <c r="K136" s="818" t="s">
        <v>320</v>
      </c>
      <c r="L136" s="379">
        <v>45361</v>
      </c>
      <c r="M136" s="379">
        <v>45392</v>
      </c>
      <c r="N136" s="435">
        <f t="shared" si="17"/>
        <v>32</v>
      </c>
      <c r="O136" s="822">
        <f t="shared" si="15"/>
        <v>25.6</v>
      </c>
      <c r="P136" s="437" t="str">
        <f t="shared" si="16"/>
        <v>적정</v>
      </c>
      <c r="Q136" s="2"/>
      <c r="R136"/>
    </row>
    <row r="137" spans="1:18" ht="17.25">
      <c r="A137" s="153"/>
      <c r="B137" s="1227"/>
      <c r="C137" s="378">
        <v>4</v>
      </c>
      <c r="D137" s="1207" t="s">
        <v>570</v>
      </c>
      <c r="E137" s="1207"/>
      <c r="F137" s="1207"/>
      <c r="G137" s="1207"/>
      <c r="H137" s="1207" t="s">
        <v>438</v>
      </c>
      <c r="I137" s="1207"/>
      <c r="J137" s="881" t="s">
        <v>682</v>
      </c>
      <c r="K137" s="818" t="s">
        <v>320</v>
      </c>
      <c r="L137" s="379">
        <v>45301</v>
      </c>
      <c r="M137" s="379">
        <v>45342</v>
      </c>
      <c r="N137" s="435">
        <f t="shared" si="17"/>
        <v>42</v>
      </c>
      <c r="O137" s="822">
        <f t="shared" si="15"/>
        <v>33.6</v>
      </c>
      <c r="P137" s="437" t="str">
        <f t="shared" si="16"/>
        <v>중복</v>
      </c>
      <c r="Q137" s="2"/>
      <c r="R137"/>
    </row>
    <row r="138" spans="1:18" ht="17.25">
      <c r="A138" s="153"/>
      <c r="B138" s="1227"/>
      <c r="C138" s="378">
        <v>5</v>
      </c>
      <c r="D138" s="1207" t="s">
        <v>570</v>
      </c>
      <c r="E138" s="1207"/>
      <c r="F138" s="1207"/>
      <c r="G138" s="1207"/>
      <c r="H138" s="1207" t="s">
        <v>438</v>
      </c>
      <c r="I138" s="1207"/>
      <c r="J138" s="881" t="s">
        <v>682</v>
      </c>
      <c r="K138" s="818" t="s">
        <v>320</v>
      </c>
      <c r="L138" s="379">
        <v>45301</v>
      </c>
      <c r="M138" s="379">
        <v>45342</v>
      </c>
      <c r="N138" s="435">
        <f t="shared" si="17"/>
        <v>42</v>
      </c>
      <c r="O138" s="822">
        <f t="shared" si="15"/>
        <v>33.6</v>
      </c>
      <c r="P138" s="437" t="str">
        <f t="shared" si="16"/>
        <v>중복</v>
      </c>
      <c r="Q138" s="2"/>
      <c r="R138"/>
    </row>
    <row r="139" spans="1:18" ht="17.25">
      <c r="A139" s="153"/>
      <c r="B139" s="1227"/>
      <c r="C139" s="378">
        <v>6</v>
      </c>
      <c r="D139" s="1207" t="s">
        <v>570</v>
      </c>
      <c r="E139" s="1207"/>
      <c r="F139" s="1207"/>
      <c r="G139" s="1207"/>
      <c r="H139" s="1207" t="s">
        <v>438</v>
      </c>
      <c r="I139" s="1207"/>
      <c r="J139" s="881" t="s">
        <v>682</v>
      </c>
      <c r="K139" s="818" t="s">
        <v>320</v>
      </c>
      <c r="L139" s="379">
        <v>45301</v>
      </c>
      <c r="M139" s="379">
        <v>45342</v>
      </c>
      <c r="N139" s="435">
        <f t="shared" si="17"/>
        <v>42</v>
      </c>
      <c r="O139" s="822">
        <f t="shared" si="15"/>
        <v>33.6</v>
      </c>
      <c r="P139" s="437" t="str">
        <f t="shared" si="16"/>
        <v>중복</v>
      </c>
      <c r="Q139" s="2"/>
      <c r="R139"/>
    </row>
    <row r="140" spans="1:18" ht="17.25">
      <c r="A140" s="153"/>
      <c r="B140" s="1227"/>
      <c r="C140" s="378">
        <v>7</v>
      </c>
      <c r="D140" s="1207"/>
      <c r="E140" s="1207"/>
      <c r="F140" s="1207"/>
      <c r="G140" s="1207"/>
      <c r="H140" s="1207"/>
      <c r="I140" s="1207"/>
      <c r="J140" s="536"/>
      <c r="K140" s="818" t="s">
        <v>320</v>
      </c>
      <c r="L140" s="379"/>
      <c r="M140" s="379"/>
      <c r="N140" s="435" t="str">
        <f t="shared" si="17"/>
        <v/>
      </c>
      <c r="O140" s="822" t="str">
        <f t="shared" si="15"/>
        <v/>
      </c>
      <c r="P140" s="437" t="str">
        <f t="shared" si="16"/>
        <v/>
      </c>
      <c r="Q140" s="2"/>
      <c r="R140"/>
    </row>
    <row r="141" spans="1:18" ht="17.25">
      <c r="A141" s="153"/>
      <c r="B141" s="1227"/>
      <c r="C141" s="378">
        <v>8</v>
      </c>
      <c r="D141" s="1207"/>
      <c r="E141" s="1207"/>
      <c r="F141" s="1207"/>
      <c r="G141" s="1207"/>
      <c r="H141" s="1207"/>
      <c r="I141" s="1207"/>
      <c r="J141" s="536"/>
      <c r="K141" s="818" t="s">
        <v>320</v>
      </c>
      <c r="L141" s="379"/>
      <c r="M141" s="379"/>
      <c r="N141" s="435" t="str">
        <f t="shared" si="17"/>
        <v/>
      </c>
      <c r="O141" s="822" t="str">
        <f t="shared" si="15"/>
        <v/>
      </c>
      <c r="P141" s="437" t="str">
        <f t="shared" si="16"/>
        <v/>
      </c>
      <c r="Q141" s="2"/>
      <c r="R141"/>
    </row>
    <row r="142" spans="1:18" ht="17.25">
      <c r="A142" s="153"/>
      <c r="B142" s="1227"/>
      <c r="C142" s="378">
        <v>9</v>
      </c>
      <c r="D142" s="1207"/>
      <c r="E142" s="1207"/>
      <c r="F142" s="1207"/>
      <c r="G142" s="1207"/>
      <c r="H142" s="1207"/>
      <c r="I142" s="1207"/>
      <c r="J142" s="536"/>
      <c r="K142" s="818" t="s">
        <v>320</v>
      </c>
      <c r="L142" s="379"/>
      <c r="M142" s="379"/>
      <c r="N142" s="435" t="str">
        <f t="shared" si="17"/>
        <v/>
      </c>
      <c r="O142" s="822" t="str">
        <f t="shared" si="15"/>
        <v/>
      </c>
      <c r="P142" s="437" t="str">
        <f t="shared" si="16"/>
        <v/>
      </c>
      <c r="Q142" s="2"/>
      <c r="R142"/>
    </row>
    <row r="143" spans="1:18" ht="18" thickBot="1">
      <c r="A143" s="153"/>
      <c r="B143" s="1228"/>
      <c r="C143" s="433">
        <v>10</v>
      </c>
      <c r="D143" s="1229"/>
      <c r="E143" s="1229"/>
      <c r="F143" s="1229"/>
      <c r="G143" s="1229"/>
      <c r="H143" s="1229"/>
      <c r="I143" s="1229"/>
      <c r="J143" s="537"/>
      <c r="K143" s="819" t="s">
        <v>624</v>
      </c>
      <c r="L143" s="434"/>
      <c r="M143" s="434"/>
      <c r="N143" s="436" t="str">
        <f t="shared" si="17"/>
        <v/>
      </c>
      <c r="O143" s="823" t="str">
        <f t="shared" si="15"/>
        <v/>
      </c>
      <c r="P143" s="752" t="str">
        <f t="shared" si="16"/>
        <v/>
      </c>
      <c r="Q143" s="2"/>
      <c r="R143"/>
    </row>
    <row r="144" spans="1:18" ht="19.5">
      <c r="A144" s="153"/>
      <c r="B144" s="159"/>
      <c r="C144" s="153"/>
      <c r="D144" s="153"/>
      <c r="E144" s="153"/>
      <c r="F144" s="154"/>
      <c r="G144" s="154"/>
      <c r="H144" s="154"/>
      <c r="I144" s="154"/>
      <c r="J144" s="154"/>
      <c r="K144" s="155"/>
      <c r="L144" s="40"/>
      <c r="M144" s="160"/>
      <c r="N144" s="161"/>
      <c r="O144" s="162"/>
      <c r="P144" s="162"/>
      <c r="Q144" s="2"/>
      <c r="R144"/>
    </row>
    <row r="145" spans="1:18" ht="18" thickBot="1">
      <c r="A145" s="153"/>
      <c r="B145" s="650" t="str">
        <f>"- 기술지원감리원 : "&amp;'참여감리원 현황'!D11</f>
        <v>- 기술지원감리원 : 안중근</v>
      </c>
      <c r="C145" s="647"/>
      <c r="D145" s="647"/>
      <c r="E145" s="648"/>
      <c r="F145" s="649"/>
      <c r="G145" s="649"/>
      <c r="H145" s="649"/>
      <c r="I145" s="649"/>
      <c r="J145" s="649"/>
      <c r="K145" s="651"/>
      <c r="L145" s="652"/>
      <c r="M145" s="653"/>
      <c r="N145" s="654"/>
      <c r="O145" s="655"/>
      <c r="P145" s="751"/>
      <c r="Q145" s="2"/>
      <c r="R145"/>
    </row>
    <row r="146" spans="1:18" ht="17.25">
      <c r="A146" s="153"/>
      <c r="B146" s="1224" t="s">
        <v>97</v>
      </c>
      <c r="C146" s="1216" t="s">
        <v>217</v>
      </c>
      <c r="D146" s="1218" t="s">
        <v>315</v>
      </c>
      <c r="E146" s="1219"/>
      <c r="F146" s="1219"/>
      <c r="G146" s="1220"/>
      <c r="H146" s="1218" t="s">
        <v>316</v>
      </c>
      <c r="I146" s="1220"/>
      <c r="J146" s="1216" t="s">
        <v>215</v>
      </c>
      <c r="K146" s="1216" t="s">
        <v>317</v>
      </c>
      <c r="L146" s="1235" t="s">
        <v>8</v>
      </c>
      <c r="M146" s="1236"/>
      <c r="N146" s="1237"/>
      <c r="O146" s="1241" t="s">
        <v>216</v>
      </c>
      <c r="P146" s="1214" t="s">
        <v>690</v>
      </c>
      <c r="Q146" s="2"/>
      <c r="R146"/>
    </row>
    <row r="147" spans="1:18" ht="18" thickBot="1">
      <c r="A147" s="153"/>
      <c r="B147" s="1225"/>
      <c r="C147" s="1217"/>
      <c r="D147" s="1221"/>
      <c r="E147" s="1222"/>
      <c r="F147" s="1222"/>
      <c r="G147" s="1223"/>
      <c r="H147" s="1221"/>
      <c r="I147" s="1223"/>
      <c r="J147" s="1217"/>
      <c r="K147" s="1217"/>
      <c r="L147" s="581" t="s">
        <v>9</v>
      </c>
      <c r="M147" s="581" t="s">
        <v>10</v>
      </c>
      <c r="N147" s="582" t="s">
        <v>318</v>
      </c>
      <c r="O147" s="1242"/>
      <c r="P147" s="1215"/>
      <c r="Q147" s="2"/>
      <c r="R147"/>
    </row>
    <row r="148" spans="1:18" ht="18" thickTop="1">
      <c r="A148" s="153"/>
      <c r="B148" s="1243" t="s">
        <v>72</v>
      </c>
      <c r="C148" s="1244"/>
      <c r="D148" s="1244"/>
      <c r="E148" s="1244"/>
      <c r="F148" s="1244"/>
      <c r="G148" s="1244"/>
      <c r="H148" s="1244"/>
      <c r="I148" s="1244"/>
      <c r="J148" s="1244"/>
      <c r="K148" s="1244"/>
      <c r="L148" s="1244"/>
      <c r="M148" s="1244"/>
      <c r="N148" s="580">
        <f>N149+N160</f>
        <v>0.4</v>
      </c>
      <c r="O148" s="580">
        <f>O149+O160</f>
        <v>0.36</v>
      </c>
      <c r="P148" s="755"/>
      <c r="Q148" s="2"/>
      <c r="R148"/>
    </row>
    <row r="149" spans="1:18" ht="17.25">
      <c r="A149" s="153"/>
      <c r="B149" s="1233" t="s">
        <v>321</v>
      </c>
      <c r="C149" s="1234"/>
      <c r="D149" s="1234"/>
      <c r="E149" s="1234"/>
      <c r="F149" s="1234"/>
      <c r="G149" s="1234"/>
      <c r="H149" s="1234"/>
      <c r="I149" s="1234"/>
      <c r="J149" s="1234"/>
      <c r="K149" s="1234"/>
      <c r="L149" s="1234"/>
      <c r="M149" s="1234"/>
      <c r="N149" s="380">
        <f>ROUND(SUM(N150:N159)/365,2)</f>
        <v>0.2</v>
      </c>
      <c r="O149" s="380">
        <f>ROUND(SUM(O150:O159)/365,2)</f>
        <v>0.2</v>
      </c>
      <c r="P149" s="756"/>
      <c r="Q149" s="2"/>
      <c r="R149"/>
    </row>
    <row r="150" spans="1:18" ht="17.25" customHeight="1">
      <c r="A150" s="153"/>
      <c r="B150" s="1211" t="s">
        <v>446</v>
      </c>
      <c r="C150" s="378">
        <v>1</v>
      </c>
      <c r="D150" s="1207" t="s">
        <v>570</v>
      </c>
      <c r="E150" s="1207"/>
      <c r="F150" s="1207"/>
      <c r="G150" s="1207"/>
      <c r="H150" s="1207" t="s">
        <v>324</v>
      </c>
      <c r="I150" s="1207"/>
      <c r="J150" s="536" t="s">
        <v>371</v>
      </c>
      <c r="K150" s="818" t="s">
        <v>320</v>
      </c>
      <c r="L150" s="379">
        <v>45292</v>
      </c>
      <c r="M150" s="379">
        <v>45322</v>
      </c>
      <c r="N150" s="435">
        <f>IF(D150="","",M150-L150+1)</f>
        <v>31</v>
      </c>
      <c r="O150" s="821">
        <f t="shared" ref="O150:O159" si="18">IF(J150="비상주감리",N150*0.2,IF(J150="부분상주감리","직접입력", N150))</f>
        <v>31</v>
      </c>
      <c r="P150" s="437" t="str">
        <f t="shared" ref="P150:P159" si="19">IF(D150="","",IF(J150="비상주감리","5개소중복가능",IF(J150="부분상주감리","-",IF(L150&gt;M149,"적정","중복"))))</f>
        <v>적정</v>
      </c>
      <c r="Q150" s="2"/>
      <c r="R150"/>
    </row>
    <row r="151" spans="1:18" ht="17.25">
      <c r="A151" s="153"/>
      <c r="B151" s="1212"/>
      <c r="C151" s="378">
        <v>2</v>
      </c>
      <c r="D151" s="1207" t="s">
        <v>570</v>
      </c>
      <c r="E151" s="1207"/>
      <c r="F151" s="1207"/>
      <c r="G151" s="1207"/>
      <c r="H151" s="1207" t="s">
        <v>324</v>
      </c>
      <c r="I151" s="1207"/>
      <c r="J151" s="629" t="s">
        <v>371</v>
      </c>
      <c r="K151" s="818" t="s">
        <v>320</v>
      </c>
      <c r="L151" s="379">
        <v>45301</v>
      </c>
      <c r="M151" s="379">
        <v>45342</v>
      </c>
      <c r="N151" s="435">
        <f t="shared" ref="N151:N159" si="20">IF(D151="","",M151-L151+1)</f>
        <v>42</v>
      </c>
      <c r="O151" s="821">
        <f t="shared" si="18"/>
        <v>42</v>
      </c>
      <c r="P151" s="437" t="str">
        <f t="shared" si="19"/>
        <v>중복</v>
      </c>
      <c r="Q151" s="2"/>
      <c r="R151"/>
    </row>
    <row r="152" spans="1:18" ht="17.25">
      <c r="A152" s="153"/>
      <c r="B152" s="1212"/>
      <c r="C152" s="378">
        <v>3</v>
      </c>
      <c r="D152" s="1207"/>
      <c r="E152" s="1207"/>
      <c r="F152" s="1207"/>
      <c r="G152" s="1207"/>
      <c r="H152" s="1207"/>
      <c r="I152" s="1207"/>
      <c r="J152" s="536"/>
      <c r="K152" s="818" t="s">
        <v>320</v>
      </c>
      <c r="L152" s="379"/>
      <c r="M152" s="379"/>
      <c r="N152" s="435" t="str">
        <f t="shared" si="20"/>
        <v/>
      </c>
      <c r="O152" s="821" t="str">
        <f t="shared" si="18"/>
        <v/>
      </c>
      <c r="P152" s="437" t="str">
        <f t="shared" si="19"/>
        <v/>
      </c>
      <c r="Q152" s="2"/>
      <c r="R152"/>
    </row>
    <row r="153" spans="1:18" ht="17.25">
      <c r="A153" s="153"/>
      <c r="B153" s="1212"/>
      <c r="C153" s="378">
        <v>4</v>
      </c>
      <c r="D153" s="1207"/>
      <c r="E153" s="1207"/>
      <c r="F153" s="1207"/>
      <c r="G153" s="1207"/>
      <c r="H153" s="1207"/>
      <c r="I153" s="1207"/>
      <c r="J153" s="536"/>
      <c r="K153" s="818" t="s">
        <v>320</v>
      </c>
      <c r="L153" s="379"/>
      <c r="M153" s="379"/>
      <c r="N153" s="435" t="str">
        <f t="shared" si="20"/>
        <v/>
      </c>
      <c r="O153" s="821" t="str">
        <f t="shared" si="18"/>
        <v/>
      </c>
      <c r="P153" s="437" t="str">
        <f t="shared" si="19"/>
        <v/>
      </c>
      <c r="Q153" s="2"/>
      <c r="R153"/>
    </row>
    <row r="154" spans="1:18" ht="17.25">
      <c r="A154" s="153"/>
      <c r="B154" s="1212"/>
      <c r="C154" s="378">
        <v>5</v>
      </c>
      <c r="D154" s="1207"/>
      <c r="E154" s="1207"/>
      <c r="F154" s="1207"/>
      <c r="G154" s="1207"/>
      <c r="H154" s="1207"/>
      <c r="I154" s="1207"/>
      <c r="J154" s="536"/>
      <c r="K154" s="818" t="s">
        <v>320</v>
      </c>
      <c r="L154" s="379"/>
      <c r="M154" s="379"/>
      <c r="N154" s="435" t="str">
        <f t="shared" si="20"/>
        <v/>
      </c>
      <c r="O154" s="821" t="str">
        <f t="shared" si="18"/>
        <v/>
      </c>
      <c r="P154" s="437" t="str">
        <f t="shared" si="19"/>
        <v/>
      </c>
      <c r="Q154" s="2"/>
      <c r="R154"/>
    </row>
    <row r="155" spans="1:18" ht="17.25">
      <c r="A155" s="153"/>
      <c r="B155" s="1212"/>
      <c r="C155" s="378">
        <v>6</v>
      </c>
      <c r="D155" s="1207"/>
      <c r="E155" s="1207"/>
      <c r="F155" s="1207"/>
      <c r="G155" s="1207"/>
      <c r="H155" s="1207"/>
      <c r="I155" s="1207"/>
      <c r="J155" s="536"/>
      <c r="K155" s="818" t="s">
        <v>320</v>
      </c>
      <c r="L155" s="379"/>
      <c r="M155" s="379"/>
      <c r="N155" s="435" t="str">
        <f t="shared" si="20"/>
        <v/>
      </c>
      <c r="O155" s="821" t="str">
        <f t="shared" si="18"/>
        <v/>
      </c>
      <c r="P155" s="437" t="str">
        <f t="shared" si="19"/>
        <v/>
      </c>
      <c r="Q155" s="2"/>
      <c r="R155"/>
    </row>
    <row r="156" spans="1:18" ht="17.25">
      <c r="A156" s="153"/>
      <c r="B156" s="1212"/>
      <c r="C156" s="378">
        <v>7</v>
      </c>
      <c r="D156" s="1207"/>
      <c r="E156" s="1207"/>
      <c r="F156" s="1207"/>
      <c r="G156" s="1207"/>
      <c r="H156" s="1207"/>
      <c r="I156" s="1207"/>
      <c r="J156" s="536"/>
      <c r="K156" s="818" t="s">
        <v>320</v>
      </c>
      <c r="L156" s="379"/>
      <c r="M156" s="379"/>
      <c r="N156" s="435" t="str">
        <f t="shared" si="20"/>
        <v/>
      </c>
      <c r="O156" s="821" t="str">
        <f t="shared" si="18"/>
        <v/>
      </c>
      <c r="P156" s="437" t="str">
        <f t="shared" si="19"/>
        <v/>
      </c>
      <c r="Q156" s="2"/>
      <c r="R156"/>
    </row>
    <row r="157" spans="1:18" ht="17.25">
      <c r="A157" s="153"/>
      <c r="B157" s="1212"/>
      <c r="C157" s="378">
        <v>8</v>
      </c>
      <c r="D157" s="1207"/>
      <c r="E157" s="1207"/>
      <c r="F157" s="1207"/>
      <c r="G157" s="1207"/>
      <c r="H157" s="1207"/>
      <c r="I157" s="1207"/>
      <c r="J157" s="536"/>
      <c r="K157" s="818" t="s">
        <v>320</v>
      </c>
      <c r="L157" s="379"/>
      <c r="M157" s="379"/>
      <c r="N157" s="435" t="str">
        <f t="shared" si="20"/>
        <v/>
      </c>
      <c r="O157" s="821" t="str">
        <f t="shared" si="18"/>
        <v/>
      </c>
      <c r="P157" s="437" t="str">
        <f t="shared" si="19"/>
        <v/>
      </c>
      <c r="Q157" s="2"/>
      <c r="R157"/>
    </row>
    <row r="158" spans="1:18" ht="17.25">
      <c r="A158" s="153"/>
      <c r="B158" s="1212"/>
      <c r="C158" s="378">
        <v>9</v>
      </c>
      <c r="D158" s="1207"/>
      <c r="E158" s="1207"/>
      <c r="F158" s="1207"/>
      <c r="G158" s="1207"/>
      <c r="H158" s="1207"/>
      <c r="I158" s="1207"/>
      <c r="J158" s="536"/>
      <c r="K158" s="818" t="s">
        <v>320</v>
      </c>
      <c r="L158" s="379"/>
      <c r="M158" s="379"/>
      <c r="N158" s="435" t="str">
        <f t="shared" si="20"/>
        <v/>
      </c>
      <c r="O158" s="821" t="str">
        <f t="shared" si="18"/>
        <v/>
      </c>
      <c r="P158" s="437" t="str">
        <f t="shared" si="19"/>
        <v/>
      </c>
      <c r="Q158" s="2"/>
      <c r="R158"/>
    </row>
    <row r="159" spans="1:18" ht="17.25">
      <c r="A159" s="153"/>
      <c r="B159" s="1213"/>
      <c r="C159" s="378">
        <v>10</v>
      </c>
      <c r="D159" s="1207"/>
      <c r="E159" s="1207"/>
      <c r="F159" s="1207"/>
      <c r="G159" s="1207"/>
      <c r="H159" s="1207"/>
      <c r="I159" s="1207"/>
      <c r="J159" s="536"/>
      <c r="K159" s="818" t="s">
        <v>320</v>
      </c>
      <c r="L159" s="379"/>
      <c r="M159" s="379"/>
      <c r="N159" s="435" t="str">
        <f t="shared" si="20"/>
        <v/>
      </c>
      <c r="O159" s="821" t="str">
        <f t="shared" si="18"/>
        <v/>
      </c>
      <c r="P159" s="437" t="str">
        <f t="shared" si="19"/>
        <v/>
      </c>
      <c r="Q159" s="2"/>
      <c r="R159"/>
    </row>
    <row r="160" spans="1:18" ht="17.25">
      <c r="A160" s="153"/>
      <c r="B160" s="1208" t="s">
        <v>323</v>
      </c>
      <c r="C160" s="1209"/>
      <c r="D160" s="1209"/>
      <c r="E160" s="1209"/>
      <c r="F160" s="1209"/>
      <c r="G160" s="1209"/>
      <c r="H160" s="1209"/>
      <c r="I160" s="1209"/>
      <c r="J160" s="1209"/>
      <c r="K160" s="1209"/>
      <c r="L160" s="1209"/>
      <c r="M160" s="1210"/>
      <c r="N160" s="380">
        <f>ROUND(SUM(N161:N170)/365,2)</f>
        <v>0.2</v>
      </c>
      <c r="O160" s="380">
        <f>ROUND(SUM(O161:O170)/365,2)</f>
        <v>0.16</v>
      </c>
      <c r="P160" s="756"/>
      <c r="Q160" s="2"/>
      <c r="R160"/>
    </row>
    <row r="161" spans="1:18" ht="17.25" customHeight="1">
      <c r="A161" s="153"/>
      <c r="B161" s="1226" t="s">
        <v>679</v>
      </c>
      <c r="C161" s="378">
        <v>1</v>
      </c>
      <c r="D161" s="1207" t="s">
        <v>570</v>
      </c>
      <c r="E161" s="1207"/>
      <c r="F161" s="1207"/>
      <c r="G161" s="1207"/>
      <c r="H161" s="1207" t="s">
        <v>438</v>
      </c>
      <c r="I161" s="1207"/>
      <c r="J161" s="536" t="s">
        <v>447</v>
      </c>
      <c r="K161" s="818" t="s">
        <v>320</v>
      </c>
      <c r="L161" s="379">
        <v>45292</v>
      </c>
      <c r="M161" s="379">
        <v>45322</v>
      </c>
      <c r="N161" s="435">
        <f>IF(D161="","",M161-L161+1)</f>
        <v>31</v>
      </c>
      <c r="O161" s="822">
        <f t="shared" ref="O161:O170" si="21">IF(N161="","",N161*0.8)</f>
        <v>24.8</v>
      </c>
      <c r="P161" s="437" t="str">
        <f t="shared" ref="P161:P170" si="22">IF(D161="","",IF(J161="비상주감리","5개소중복가능",IF(J161="부분상주감리","-",IF(L161&gt;M160,"적정","중복"))))</f>
        <v>적정</v>
      </c>
      <c r="Q161" s="2"/>
      <c r="R161"/>
    </row>
    <row r="162" spans="1:18" ht="17.25">
      <c r="A162" s="153"/>
      <c r="B162" s="1227"/>
      <c r="C162" s="378">
        <v>2</v>
      </c>
      <c r="D162" s="1207" t="s">
        <v>570</v>
      </c>
      <c r="E162" s="1207"/>
      <c r="F162" s="1207"/>
      <c r="G162" s="1207"/>
      <c r="H162" s="1207" t="s">
        <v>438</v>
      </c>
      <c r="I162" s="1207"/>
      <c r="J162" s="629" t="s">
        <v>447</v>
      </c>
      <c r="K162" s="818" t="s">
        <v>320</v>
      </c>
      <c r="L162" s="379">
        <v>45301</v>
      </c>
      <c r="M162" s="379">
        <v>45342</v>
      </c>
      <c r="N162" s="435">
        <f t="shared" ref="N162:N170" si="23">IF(D162="","",M162-L162+1)</f>
        <v>42</v>
      </c>
      <c r="O162" s="822">
        <f t="shared" si="21"/>
        <v>33.6</v>
      </c>
      <c r="P162" s="437" t="str">
        <f t="shared" si="22"/>
        <v>중복</v>
      </c>
      <c r="Q162" s="2"/>
      <c r="R162"/>
    </row>
    <row r="163" spans="1:18" ht="17.25">
      <c r="A163" s="153"/>
      <c r="B163" s="1227"/>
      <c r="C163" s="378">
        <v>3</v>
      </c>
      <c r="D163" s="1207"/>
      <c r="E163" s="1207"/>
      <c r="F163" s="1207"/>
      <c r="G163" s="1207"/>
      <c r="H163" s="1207"/>
      <c r="I163" s="1207"/>
      <c r="J163" s="536"/>
      <c r="K163" s="818" t="s">
        <v>320</v>
      </c>
      <c r="L163" s="379"/>
      <c r="M163" s="379"/>
      <c r="N163" s="435" t="str">
        <f t="shared" si="23"/>
        <v/>
      </c>
      <c r="O163" s="822" t="str">
        <f t="shared" si="21"/>
        <v/>
      </c>
      <c r="P163" s="437" t="str">
        <f t="shared" si="22"/>
        <v/>
      </c>
      <c r="Q163" s="2"/>
      <c r="R163"/>
    </row>
    <row r="164" spans="1:18" ht="17.25">
      <c r="A164" s="153"/>
      <c r="B164" s="1227"/>
      <c r="C164" s="378">
        <v>4</v>
      </c>
      <c r="D164" s="1207"/>
      <c r="E164" s="1207"/>
      <c r="F164" s="1207"/>
      <c r="G164" s="1207"/>
      <c r="H164" s="1207"/>
      <c r="I164" s="1207"/>
      <c r="J164" s="536"/>
      <c r="K164" s="818" t="s">
        <v>320</v>
      </c>
      <c r="L164" s="379"/>
      <c r="M164" s="379"/>
      <c r="N164" s="435" t="str">
        <f t="shared" si="23"/>
        <v/>
      </c>
      <c r="O164" s="822" t="str">
        <f t="shared" si="21"/>
        <v/>
      </c>
      <c r="P164" s="437" t="str">
        <f t="shared" si="22"/>
        <v/>
      </c>
      <c r="Q164" s="2"/>
      <c r="R164"/>
    </row>
    <row r="165" spans="1:18" ht="17.25">
      <c r="A165" s="153"/>
      <c r="B165" s="1227"/>
      <c r="C165" s="378">
        <v>5</v>
      </c>
      <c r="D165" s="1207"/>
      <c r="E165" s="1207"/>
      <c r="F165" s="1207"/>
      <c r="G165" s="1207"/>
      <c r="H165" s="1207"/>
      <c r="I165" s="1207"/>
      <c r="J165" s="536"/>
      <c r="K165" s="818" t="s">
        <v>320</v>
      </c>
      <c r="L165" s="379"/>
      <c r="M165" s="379"/>
      <c r="N165" s="435" t="str">
        <f t="shared" si="23"/>
        <v/>
      </c>
      <c r="O165" s="822" t="str">
        <f t="shared" si="21"/>
        <v/>
      </c>
      <c r="P165" s="437" t="str">
        <f t="shared" si="22"/>
        <v/>
      </c>
      <c r="Q165" s="2"/>
      <c r="R165"/>
    </row>
    <row r="166" spans="1:18" ht="17.25">
      <c r="A166" s="153"/>
      <c r="B166" s="1227"/>
      <c r="C166" s="378">
        <v>6</v>
      </c>
      <c r="D166" s="1207"/>
      <c r="E166" s="1207"/>
      <c r="F166" s="1207"/>
      <c r="G166" s="1207"/>
      <c r="H166" s="1207"/>
      <c r="I166" s="1207"/>
      <c r="J166" s="536"/>
      <c r="K166" s="818" t="s">
        <v>320</v>
      </c>
      <c r="L166" s="379"/>
      <c r="M166" s="379"/>
      <c r="N166" s="435" t="str">
        <f t="shared" si="23"/>
        <v/>
      </c>
      <c r="O166" s="822" t="str">
        <f t="shared" si="21"/>
        <v/>
      </c>
      <c r="P166" s="437" t="str">
        <f t="shared" si="22"/>
        <v/>
      </c>
      <c r="Q166" s="2"/>
      <c r="R166"/>
    </row>
    <row r="167" spans="1:18" ht="17.25">
      <c r="A167" s="153"/>
      <c r="B167" s="1227"/>
      <c r="C167" s="378">
        <v>7</v>
      </c>
      <c r="D167" s="1207"/>
      <c r="E167" s="1207"/>
      <c r="F167" s="1207"/>
      <c r="G167" s="1207"/>
      <c r="H167" s="1207"/>
      <c r="I167" s="1207"/>
      <c r="J167" s="536"/>
      <c r="K167" s="818" t="s">
        <v>320</v>
      </c>
      <c r="L167" s="379"/>
      <c r="M167" s="379"/>
      <c r="N167" s="435" t="str">
        <f t="shared" si="23"/>
        <v/>
      </c>
      <c r="O167" s="822" t="str">
        <f t="shared" si="21"/>
        <v/>
      </c>
      <c r="P167" s="437" t="str">
        <f t="shared" si="22"/>
        <v/>
      </c>
      <c r="Q167" s="2"/>
      <c r="R167"/>
    </row>
    <row r="168" spans="1:18" ht="17.25">
      <c r="A168" s="153"/>
      <c r="B168" s="1227"/>
      <c r="C168" s="378">
        <v>8</v>
      </c>
      <c r="D168" s="1207"/>
      <c r="E168" s="1207"/>
      <c r="F168" s="1207"/>
      <c r="G168" s="1207"/>
      <c r="H168" s="1207"/>
      <c r="I168" s="1207"/>
      <c r="J168" s="536"/>
      <c r="K168" s="818" t="s">
        <v>320</v>
      </c>
      <c r="L168" s="379"/>
      <c r="M168" s="379"/>
      <c r="N168" s="435" t="str">
        <f t="shared" si="23"/>
        <v/>
      </c>
      <c r="O168" s="822" t="str">
        <f t="shared" si="21"/>
        <v/>
      </c>
      <c r="P168" s="437" t="str">
        <f t="shared" si="22"/>
        <v/>
      </c>
      <c r="Q168" s="2"/>
      <c r="R168"/>
    </row>
    <row r="169" spans="1:18" ht="17.25">
      <c r="A169" s="153"/>
      <c r="B169" s="1227"/>
      <c r="C169" s="378">
        <v>9</v>
      </c>
      <c r="D169" s="1207"/>
      <c r="E169" s="1207"/>
      <c r="F169" s="1207"/>
      <c r="G169" s="1207"/>
      <c r="H169" s="1207"/>
      <c r="I169" s="1207"/>
      <c r="J169" s="536"/>
      <c r="K169" s="818" t="s">
        <v>320</v>
      </c>
      <c r="L169" s="379"/>
      <c r="M169" s="379"/>
      <c r="N169" s="435" t="str">
        <f t="shared" si="23"/>
        <v/>
      </c>
      <c r="O169" s="822" t="str">
        <f t="shared" si="21"/>
        <v/>
      </c>
      <c r="P169" s="437" t="str">
        <f t="shared" si="22"/>
        <v/>
      </c>
      <c r="Q169" s="2"/>
      <c r="R169"/>
    </row>
    <row r="170" spans="1:18" ht="18" thickBot="1">
      <c r="A170" s="153"/>
      <c r="B170" s="1228"/>
      <c r="C170" s="433">
        <v>10</v>
      </c>
      <c r="D170" s="1229"/>
      <c r="E170" s="1229"/>
      <c r="F170" s="1229"/>
      <c r="G170" s="1229"/>
      <c r="H170" s="1229"/>
      <c r="I170" s="1229"/>
      <c r="J170" s="537"/>
      <c r="K170" s="819" t="s">
        <v>624</v>
      </c>
      <c r="L170" s="434"/>
      <c r="M170" s="434"/>
      <c r="N170" s="436" t="str">
        <f t="shared" si="23"/>
        <v/>
      </c>
      <c r="O170" s="823" t="str">
        <f t="shared" si="21"/>
        <v/>
      </c>
      <c r="P170" s="752" t="str">
        <f t="shared" si="22"/>
        <v/>
      </c>
      <c r="Q170" s="2"/>
      <c r="R170"/>
    </row>
    <row r="172" spans="1:18">
      <c r="B172" s="331" t="s">
        <v>84</v>
      </c>
      <c r="C172" s="331"/>
    </row>
    <row r="173" spans="1:18">
      <c r="B173" s="331" t="s">
        <v>366</v>
      </c>
      <c r="C173" s="331"/>
    </row>
    <row r="174" spans="1:18">
      <c r="B174" s="331" t="s">
        <v>368</v>
      </c>
      <c r="C174" s="331"/>
    </row>
    <row r="175" spans="1:18">
      <c r="B175" s="331" t="s">
        <v>367</v>
      </c>
      <c r="C175" s="331"/>
    </row>
    <row r="176" spans="1:18">
      <c r="B176" s="331" t="s">
        <v>369</v>
      </c>
      <c r="C176" s="331"/>
    </row>
    <row r="177" spans="2:3">
      <c r="B177" s="331" t="s">
        <v>370</v>
      </c>
      <c r="C177" s="331"/>
    </row>
    <row r="179" spans="2:3">
      <c r="B179" s="331" t="s">
        <v>261</v>
      </c>
    </row>
    <row r="180" spans="2:3">
      <c r="B180" s="332" t="s">
        <v>267</v>
      </c>
    </row>
    <row r="181" spans="2:3">
      <c r="B181" s="332" t="s">
        <v>268</v>
      </c>
    </row>
    <row r="182" spans="2:3">
      <c r="B182" s="331" t="s">
        <v>262</v>
      </c>
    </row>
    <row r="183" spans="2:3">
      <c r="B183" s="331" t="s">
        <v>421</v>
      </c>
    </row>
    <row r="184" spans="2:3">
      <c r="B184" s="331" t="s">
        <v>263</v>
      </c>
    </row>
    <row r="185" spans="2:3">
      <c r="B185" s="332"/>
    </row>
  </sheetData>
  <mergeCells count="338">
    <mergeCell ref="N23:O23"/>
    <mergeCell ref="N24:O24"/>
    <mergeCell ref="N25:O25"/>
    <mergeCell ref="H16:I17"/>
    <mergeCell ref="H18:I18"/>
    <mergeCell ref="H19:I19"/>
    <mergeCell ref="J16:K17"/>
    <mergeCell ref="J18:K18"/>
    <mergeCell ref="J19:K19"/>
    <mergeCell ref="N18:O18"/>
    <mergeCell ref="N19:O19"/>
    <mergeCell ref="P23:P25"/>
    <mergeCell ref="P31:P32"/>
    <mergeCell ref="P37:P39"/>
    <mergeCell ref="L5:M6"/>
    <mergeCell ref="N5:O6"/>
    <mergeCell ref="L7:M7"/>
    <mergeCell ref="N7:O7"/>
    <mergeCell ref="L9:M9"/>
    <mergeCell ref="L10:M12"/>
    <mergeCell ref="N9:O9"/>
    <mergeCell ref="P5:P6"/>
    <mergeCell ref="P10:P12"/>
    <mergeCell ref="P16:P17"/>
    <mergeCell ref="P18:P19"/>
    <mergeCell ref="N10:O12"/>
    <mergeCell ref="L16:M17"/>
    <mergeCell ref="L18:M18"/>
    <mergeCell ref="L19:M19"/>
    <mergeCell ref="N16:O17"/>
    <mergeCell ref="L31:M32"/>
    <mergeCell ref="L33:M33"/>
    <mergeCell ref="N31:O32"/>
    <mergeCell ref="L22:M22"/>
    <mergeCell ref="N22:O22"/>
    <mergeCell ref="P146:P147"/>
    <mergeCell ref="B39:D39"/>
    <mergeCell ref="B25:D25"/>
    <mergeCell ref="B37:D38"/>
    <mergeCell ref="J37:K39"/>
    <mergeCell ref="B69:M69"/>
    <mergeCell ref="E36:I36"/>
    <mergeCell ref="J36:K36"/>
    <mergeCell ref="O119:O120"/>
    <mergeCell ref="O45:O46"/>
    <mergeCell ref="H105:I105"/>
    <mergeCell ref="D100:G100"/>
    <mergeCell ref="H132:I132"/>
    <mergeCell ref="B134:B143"/>
    <mergeCell ref="D134:G134"/>
    <mergeCell ref="H134:I134"/>
    <mergeCell ref="D135:G135"/>
    <mergeCell ref="H135:I135"/>
    <mergeCell ref="D139:G139"/>
    <mergeCell ref="H139:I139"/>
    <mergeCell ref="D143:G143"/>
    <mergeCell ref="N33:O33"/>
    <mergeCell ref="L36:M36"/>
    <mergeCell ref="H49:I49"/>
    <mergeCell ref="B47:M47"/>
    <mergeCell ref="B48:M48"/>
    <mergeCell ref="D49:G49"/>
    <mergeCell ref="L23:M23"/>
    <mergeCell ref="L24:M24"/>
    <mergeCell ref="L25:M25"/>
    <mergeCell ref="P92:P93"/>
    <mergeCell ref="P119:P120"/>
    <mergeCell ref="L37:M39"/>
    <mergeCell ref="N36:O36"/>
    <mergeCell ref="N37:O39"/>
    <mergeCell ref="H31:I32"/>
    <mergeCell ref="H33:I33"/>
    <mergeCell ref="J31:K32"/>
    <mergeCell ref="J33:K33"/>
    <mergeCell ref="B23:D24"/>
    <mergeCell ref="D59:G59"/>
    <mergeCell ref="D60:G60"/>
    <mergeCell ref="D61:G61"/>
    <mergeCell ref="D56:G56"/>
    <mergeCell ref="D57:G57"/>
    <mergeCell ref="D50:G50"/>
    <mergeCell ref="D51:G51"/>
    <mergeCell ref="B31:D32"/>
    <mergeCell ref="B36:D36"/>
    <mergeCell ref="B22:D22"/>
    <mergeCell ref="E22:I22"/>
    <mergeCell ref="J22:K22"/>
    <mergeCell ref="B33:D33"/>
    <mergeCell ref="E33:G33"/>
    <mergeCell ref="B19:D19"/>
    <mergeCell ref="E19:G19"/>
    <mergeCell ref="B122:M122"/>
    <mergeCell ref="L45:N45"/>
    <mergeCell ref="B121:M121"/>
    <mergeCell ref="D108:G108"/>
    <mergeCell ref="D74:G74"/>
    <mergeCell ref="H74:I74"/>
    <mergeCell ref="D75:G75"/>
    <mergeCell ref="H75:I75"/>
    <mergeCell ref="D76:G76"/>
    <mergeCell ref="H76:I76"/>
    <mergeCell ref="D77:G77"/>
    <mergeCell ref="H77:I77"/>
    <mergeCell ref="D78:G78"/>
    <mergeCell ref="H78:I78"/>
    <mergeCell ref="D79:G79"/>
    <mergeCell ref="H79:I79"/>
    <mergeCell ref="B9:D9"/>
    <mergeCell ref="B10:D11"/>
    <mergeCell ref="J45:J46"/>
    <mergeCell ref="H45:I46"/>
    <mergeCell ref="K45:K46"/>
    <mergeCell ref="L119:N119"/>
    <mergeCell ref="D99:G99"/>
    <mergeCell ref="H99:I99"/>
    <mergeCell ref="B5:D6"/>
    <mergeCell ref="E9:I9"/>
    <mergeCell ref="H7:K7"/>
    <mergeCell ref="B16:D17"/>
    <mergeCell ref="B119:B120"/>
    <mergeCell ref="C119:C120"/>
    <mergeCell ref="D119:G120"/>
    <mergeCell ref="H119:I120"/>
    <mergeCell ref="J119:J120"/>
    <mergeCell ref="E7:G7"/>
    <mergeCell ref="B7:D7"/>
    <mergeCell ref="B12:D12"/>
    <mergeCell ref="K119:K120"/>
    <mergeCell ref="B107:B116"/>
    <mergeCell ref="D107:G107"/>
    <mergeCell ref="H107:I107"/>
    <mergeCell ref="S9:V9"/>
    <mergeCell ref="B18:D18"/>
    <mergeCell ref="E18:G18"/>
    <mergeCell ref="H100:I100"/>
    <mergeCell ref="D101:G101"/>
    <mergeCell ref="H101:I101"/>
    <mergeCell ref="D105:G105"/>
    <mergeCell ref="B106:M106"/>
    <mergeCell ref="D58:G58"/>
    <mergeCell ref="D62:G62"/>
    <mergeCell ref="D63:G63"/>
    <mergeCell ref="D64:G64"/>
    <mergeCell ref="D65:G65"/>
    <mergeCell ref="D103:G103"/>
    <mergeCell ref="H103:I103"/>
    <mergeCell ref="D70:G70"/>
    <mergeCell ref="H70:I70"/>
    <mergeCell ref="D71:G71"/>
    <mergeCell ref="H71:I71"/>
    <mergeCell ref="D72:G72"/>
    <mergeCell ref="H72:I72"/>
    <mergeCell ref="D73:G73"/>
    <mergeCell ref="H73:I73"/>
    <mergeCell ref="D80:G80"/>
    <mergeCell ref="M3:N3"/>
    <mergeCell ref="J9:K9"/>
    <mergeCell ref="J10:K12"/>
    <mergeCell ref="O92:O93"/>
    <mergeCell ref="B94:M94"/>
    <mergeCell ref="B95:M95"/>
    <mergeCell ref="J92:J93"/>
    <mergeCell ref="K92:K93"/>
    <mergeCell ref="B92:B93"/>
    <mergeCell ref="C92:C93"/>
    <mergeCell ref="L92:N92"/>
    <mergeCell ref="D92:G93"/>
    <mergeCell ref="H92:I93"/>
    <mergeCell ref="H62:I62"/>
    <mergeCell ref="H63:I63"/>
    <mergeCell ref="H64:I64"/>
    <mergeCell ref="H65:I65"/>
    <mergeCell ref="H59:I59"/>
    <mergeCell ref="H60:I60"/>
    <mergeCell ref="H61:I61"/>
    <mergeCell ref="H66:I66"/>
    <mergeCell ref="H67:I67"/>
    <mergeCell ref="H68:I68"/>
    <mergeCell ref="B70:B89"/>
    <mergeCell ref="H143:I143"/>
    <mergeCell ref="O146:O147"/>
    <mergeCell ref="D138:G138"/>
    <mergeCell ref="D140:G140"/>
    <mergeCell ref="H140:I140"/>
    <mergeCell ref="D141:G141"/>
    <mergeCell ref="B148:M148"/>
    <mergeCell ref="H141:I141"/>
    <mergeCell ref="D142:G142"/>
    <mergeCell ref="H142:I142"/>
    <mergeCell ref="H138:I138"/>
    <mergeCell ref="B149:M149"/>
    <mergeCell ref="J146:J147"/>
    <mergeCell ref="K146:K147"/>
    <mergeCell ref="L146:N146"/>
    <mergeCell ref="B49:B68"/>
    <mergeCell ref="B45:B46"/>
    <mergeCell ref="C45:C46"/>
    <mergeCell ref="D45:G46"/>
    <mergeCell ref="D54:G54"/>
    <mergeCell ref="D55:G55"/>
    <mergeCell ref="D52:G52"/>
    <mergeCell ref="D53:G53"/>
    <mergeCell ref="D66:G66"/>
    <mergeCell ref="D67:G67"/>
    <mergeCell ref="D68:G68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80:I80"/>
    <mergeCell ref="D81:G81"/>
    <mergeCell ref="H81:I81"/>
    <mergeCell ref="D82:G82"/>
    <mergeCell ref="H82:I82"/>
    <mergeCell ref="D83:G83"/>
    <mergeCell ref="H83:I83"/>
    <mergeCell ref="D84:G84"/>
    <mergeCell ref="H84:I84"/>
    <mergeCell ref="D97:G97"/>
    <mergeCell ref="H97:I97"/>
    <mergeCell ref="D104:G104"/>
    <mergeCell ref="H104:I104"/>
    <mergeCell ref="D85:G85"/>
    <mergeCell ref="H85:I85"/>
    <mergeCell ref="D86:G86"/>
    <mergeCell ref="H86:I86"/>
    <mergeCell ref="D87:G87"/>
    <mergeCell ref="H87:I87"/>
    <mergeCell ref="D88:G88"/>
    <mergeCell ref="H88:I88"/>
    <mergeCell ref="D89:G89"/>
    <mergeCell ref="H89:I89"/>
    <mergeCell ref="D113:G113"/>
    <mergeCell ref="H113:I113"/>
    <mergeCell ref="D114:G114"/>
    <mergeCell ref="H114:I114"/>
    <mergeCell ref="D115:G115"/>
    <mergeCell ref="H115:I115"/>
    <mergeCell ref="D116:G116"/>
    <mergeCell ref="H116:I116"/>
    <mergeCell ref="B96:B105"/>
    <mergeCell ref="H108:I108"/>
    <mergeCell ref="D109:G109"/>
    <mergeCell ref="H109:I109"/>
    <mergeCell ref="D110:G110"/>
    <mergeCell ref="H110:I110"/>
    <mergeCell ref="D111:G111"/>
    <mergeCell ref="H111:I111"/>
    <mergeCell ref="D112:G112"/>
    <mergeCell ref="H112:I112"/>
    <mergeCell ref="D102:G102"/>
    <mergeCell ref="H102:I102"/>
    <mergeCell ref="D98:G98"/>
    <mergeCell ref="H98:I98"/>
    <mergeCell ref="D96:G96"/>
    <mergeCell ref="H96:I96"/>
    <mergeCell ref="B123:B132"/>
    <mergeCell ref="D123:G123"/>
    <mergeCell ref="H123:I123"/>
    <mergeCell ref="D124:G124"/>
    <mergeCell ref="H124:I124"/>
    <mergeCell ref="D125:G125"/>
    <mergeCell ref="H125:I125"/>
    <mergeCell ref="D126:G126"/>
    <mergeCell ref="H126:I126"/>
    <mergeCell ref="D127:G127"/>
    <mergeCell ref="H127:I127"/>
    <mergeCell ref="D128:G128"/>
    <mergeCell ref="H128:I128"/>
    <mergeCell ref="D129:G129"/>
    <mergeCell ref="H129:I129"/>
    <mergeCell ref="D130:G130"/>
    <mergeCell ref="H130:I130"/>
    <mergeCell ref="H150:I150"/>
    <mergeCell ref="D151:G151"/>
    <mergeCell ref="H151:I151"/>
    <mergeCell ref="D152:G152"/>
    <mergeCell ref="H159:I159"/>
    <mergeCell ref="H152:I152"/>
    <mergeCell ref="D153:G153"/>
    <mergeCell ref="H153:I153"/>
    <mergeCell ref="D154:G154"/>
    <mergeCell ref="H154:I154"/>
    <mergeCell ref="D155:G155"/>
    <mergeCell ref="H155:I155"/>
    <mergeCell ref="P45:P46"/>
    <mergeCell ref="C146:C147"/>
    <mergeCell ref="D146:G147"/>
    <mergeCell ref="H146:I147"/>
    <mergeCell ref="B146:B147"/>
    <mergeCell ref="D164:G164"/>
    <mergeCell ref="B160:M160"/>
    <mergeCell ref="B161:B170"/>
    <mergeCell ref="D161:G161"/>
    <mergeCell ref="H161:I161"/>
    <mergeCell ref="D169:G169"/>
    <mergeCell ref="H169:I169"/>
    <mergeCell ref="D170:G170"/>
    <mergeCell ref="H170:I170"/>
    <mergeCell ref="H165:I165"/>
    <mergeCell ref="D166:G166"/>
    <mergeCell ref="H166:I166"/>
    <mergeCell ref="D167:G167"/>
    <mergeCell ref="D168:G168"/>
    <mergeCell ref="H168:I168"/>
    <mergeCell ref="H163:I163"/>
    <mergeCell ref="D156:G156"/>
    <mergeCell ref="H156:I156"/>
    <mergeCell ref="H164:I164"/>
    <mergeCell ref="E5:G6"/>
    <mergeCell ref="H5:K6"/>
    <mergeCell ref="E16:G17"/>
    <mergeCell ref="H167:I167"/>
    <mergeCell ref="E31:G32"/>
    <mergeCell ref="D162:G162"/>
    <mergeCell ref="H162:I162"/>
    <mergeCell ref="D163:G163"/>
    <mergeCell ref="D165:G165"/>
    <mergeCell ref="D157:G157"/>
    <mergeCell ref="H157:I157"/>
    <mergeCell ref="D158:G158"/>
    <mergeCell ref="H158:I158"/>
    <mergeCell ref="D159:G159"/>
    <mergeCell ref="D136:G136"/>
    <mergeCell ref="H136:I136"/>
    <mergeCell ref="D137:G137"/>
    <mergeCell ref="H137:I137"/>
    <mergeCell ref="B133:M133"/>
    <mergeCell ref="D131:G131"/>
    <mergeCell ref="H131:I131"/>
    <mergeCell ref="D132:G132"/>
    <mergeCell ref="B150:B159"/>
    <mergeCell ref="D150:G150"/>
  </mergeCells>
  <phoneticPr fontId="4" type="noConversion"/>
  <conditionalFormatting sqref="H23:H25">
    <cfRule type="expression" dxfId="5" priority="26" stopIfTrue="1">
      <formula>$B$23="800세대이상 1,200세대미만"</formula>
    </cfRule>
  </conditionalFormatting>
  <conditionalFormatting sqref="J1:J1048576">
    <cfRule type="containsText" dxfId="4" priority="5" operator="containsText" text="비상주감리">
      <formula>NOT(ISERROR(SEARCH("비상주감리",J1)))</formula>
    </cfRule>
    <cfRule type="containsText" dxfId="3" priority="6" operator="containsText" text="부분상주감리">
      <formula>NOT(ISERROR(SEARCH("부분상주감리",J1)))</formula>
    </cfRule>
  </conditionalFormatting>
  <conditionalFormatting sqref="P1:P1048576">
    <cfRule type="containsText" dxfId="2" priority="2" operator="containsText" text="5개소중복가능">
      <formula>NOT(ISERROR(SEARCH("5개소중복가능",P1)))</formula>
    </cfRule>
    <cfRule type="beginsWith" dxfId="1" priority="4" operator="beginsWith" text="중복">
      <formula>LEFT(P1,LEN("중복"))="중복"</formula>
    </cfRule>
  </conditionalFormatting>
  <dataValidations count="4">
    <dataValidation type="list" allowBlank="1" showInputMessage="1" showErrorMessage="1" sqref="H7 H18:H19" xr:uid="{00000000-0002-0000-0500-000000000000}">
      <formula1>"특급,고급,중급,초급"</formula1>
    </dataValidation>
    <dataValidation type="list" allowBlank="1" showInputMessage="1" showErrorMessage="1" sqref="J150:J159 J123:J132 J96:J105 J49:J68" xr:uid="{00000000-0002-0000-0500-000001000000}">
      <formula1>"상주감리,부분상주감리,비상주감리,공사감독,사업관리"</formula1>
    </dataValidation>
    <dataValidation type="list" allowBlank="1" showInputMessage="1" showErrorMessage="1" sqref="J161:J170 J70:J89 J107:J116 J134:J143" xr:uid="{00000000-0002-0000-0500-000002000000}">
      <formula1>"설계,설계감리,시공"</formula1>
    </dataValidation>
    <dataValidation type="list" allowBlank="1" showInputMessage="1" showErrorMessage="1" sqref="H33:I33" xr:uid="{00000000-0002-0000-0500-000003000000}">
      <formula1>"특급,고급,고급미만 평가제외"</formula1>
    </dataValidation>
  </dataValidations>
  <pageMargins left="0.7" right="0.7" top="0.75" bottom="0.75" header="0.3" footer="0.3"/>
  <pageSetup paperSize="9" scale="40" orientation="portrait" r:id="rId1"/>
  <rowBreaks count="2" manualBreakCount="2">
    <brk id="42" max="16" man="1"/>
    <brk id="143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S125"/>
  <sheetViews>
    <sheetView showGridLines="0" view="pageBreakPreview" zoomScale="85" zoomScaleNormal="85" zoomScaleSheetLayoutView="85" zoomScalePageLayoutView="40" workbookViewId="0">
      <pane ySplit="11" topLeftCell="A12" activePane="bottomLeft" state="frozen"/>
      <selection pane="bottomLeft"/>
    </sheetView>
  </sheetViews>
  <sheetFormatPr defaultRowHeight="16.5"/>
  <cols>
    <col min="1" max="1" width="2.77734375" style="39" customWidth="1"/>
    <col min="2" max="2" width="7.6640625" style="39" customWidth="1"/>
    <col min="3" max="3" width="13.33203125" style="39" customWidth="1"/>
    <col min="4" max="5" width="15" style="39" customWidth="1"/>
    <col min="6" max="7" width="9.109375" style="39" bestFit="1" customWidth="1"/>
    <col min="8" max="8" width="8.88671875" style="39"/>
    <col min="9" max="9" width="9.109375" style="39" bestFit="1" customWidth="1"/>
    <col min="10" max="11" width="8.88671875" style="39"/>
    <col min="12" max="12" width="8.88671875" style="208"/>
    <col min="13" max="13" width="8.88671875" style="209"/>
    <col min="14" max="14" width="9.88671875" style="39" bestFit="1" customWidth="1"/>
    <col min="15" max="15" width="10.21875" style="39" customWidth="1"/>
    <col min="16" max="16" width="9.21875" style="40" customWidth="1"/>
    <col min="17" max="17" width="2.21875" style="39" customWidth="1"/>
    <col min="18" max="16384" width="8.88671875" style="39"/>
  </cols>
  <sheetData>
    <row r="1" spans="1:19">
      <c r="A1" s="1"/>
      <c r="B1" s="1"/>
      <c r="C1" s="1"/>
      <c r="D1" s="1"/>
      <c r="E1" s="1"/>
      <c r="F1" s="1"/>
      <c r="G1" s="397"/>
      <c r="H1" s="397"/>
      <c r="I1" s="397"/>
      <c r="J1" s="398"/>
      <c r="K1" s="399"/>
      <c r="L1" s="399"/>
      <c r="M1" s="399"/>
      <c r="N1" s="1276" t="s">
        <v>229</v>
      </c>
      <c r="O1" s="1421" t="s">
        <v>230</v>
      </c>
      <c r="P1" s="1422"/>
    </row>
    <row r="2" spans="1:19" ht="24">
      <c r="A2" s="442" t="s">
        <v>326</v>
      </c>
      <c r="B2" s="1"/>
      <c r="C2" s="1"/>
      <c r="D2" s="1"/>
      <c r="E2" s="1"/>
      <c r="F2" s="1"/>
      <c r="G2" s="1"/>
      <c r="H2" s="1"/>
      <c r="I2" s="1"/>
      <c r="J2" s="398"/>
      <c r="K2" s="3"/>
      <c r="L2" s="663"/>
      <c r="M2" s="3"/>
      <c r="N2" s="1469"/>
      <c r="O2" s="465" t="s">
        <v>205</v>
      </c>
      <c r="P2" s="466" t="s">
        <v>206</v>
      </c>
    </row>
    <row r="3" spans="1:19" ht="20.25" thickBot="1">
      <c r="A3" s="443"/>
      <c r="B3" s="1"/>
      <c r="C3" s="1"/>
      <c r="D3" s="1"/>
      <c r="E3" s="1"/>
      <c r="F3" s="1"/>
      <c r="G3" s="1"/>
      <c r="H3" s="1"/>
      <c r="I3" s="1"/>
      <c r="J3" s="398"/>
      <c r="K3" s="400"/>
      <c r="L3" s="664"/>
      <c r="M3" s="400"/>
      <c r="N3" s="210">
        <f>작성요령!V19</f>
        <v>45292</v>
      </c>
      <c r="O3" s="211">
        <f>$P$3-365*3</f>
        <v>44196</v>
      </c>
      <c r="P3" s="212">
        <f>$N$3-1</f>
        <v>45291</v>
      </c>
    </row>
    <row r="4" spans="1:19" ht="20.25" thickBot="1">
      <c r="A4" s="445" t="s">
        <v>488</v>
      </c>
      <c r="B4" s="1"/>
      <c r="C4" s="1"/>
      <c r="D4" s="1"/>
      <c r="E4" s="1"/>
      <c r="F4" s="1"/>
      <c r="G4" s="1"/>
      <c r="H4" s="1"/>
      <c r="I4" s="1"/>
      <c r="J4" s="398"/>
      <c r="K4" s="1466"/>
      <c r="L4" s="1466"/>
      <c r="M4" s="1466"/>
      <c r="N4" s="1466"/>
      <c r="O4" s="1466"/>
      <c r="P4" s="1466"/>
    </row>
    <row r="5" spans="1:19" ht="33.75" thickBot="1">
      <c r="A5" s="1267" t="s">
        <v>335</v>
      </c>
      <c r="B5" s="1452"/>
      <c r="C5" s="1452"/>
      <c r="D5" s="1452"/>
      <c r="E5" s="1452"/>
      <c r="F5" s="1452"/>
      <c r="G5" s="1280" t="s">
        <v>336</v>
      </c>
      <c r="H5" s="1467"/>
      <c r="I5" s="1467"/>
      <c r="J5" s="1467"/>
      <c r="K5" s="1468"/>
      <c r="L5" s="1459" t="s">
        <v>422</v>
      </c>
      <c r="M5" s="1247"/>
      <c r="N5" s="390" t="s">
        <v>218</v>
      </c>
      <c r="O5" s="143" t="s">
        <v>214</v>
      </c>
      <c r="P5" s="213" t="s">
        <v>70</v>
      </c>
    </row>
    <row r="6" spans="1:19" ht="17.25" thickTop="1">
      <c r="A6" s="1446" t="str">
        <f>작성요령!M17</f>
        <v>800세대이상 1,200세대미만</v>
      </c>
      <c r="B6" s="1447"/>
      <c r="C6" s="1447"/>
      <c r="D6" s="1447"/>
      <c r="E6" s="1447"/>
      <c r="F6" s="1448"/>
      <c r="G6" s="147">
        <f>IF(A6="1,200세대이상",80,IF(A6="800세대이상 1,200세대미만",36,IF(A6="300세대이상 800세대미만",12,"입력오류")))</f>
        <v>36</v>
      </c>
      <c r="H6" s="405">
        <f>G6</f>
        <v>36</v>
      </c>
      <c r="I6" s="406">
        <f>H7</f>
        <v>30</v>
      </c>
      <c r="J6" s="406">
        <f>I7</f>
        <v>24</v>
      </c>
      <c r="K6" s="407">
        <f>J7</f>
        <v>18</v>
      </c>
      <c r="L6" s="1460">
        <f>ROUND(O107/10000,2)</f>
        <v>22.83</v>
      </c>
      <c r="M6" s="1461"/>
      <c r="N6" s="1470">
        <f>IF(L6&gt;=G6,G8,IF(L6&gt;=H7,H8,IF(L6&gt;=I7,I8,IF(L6&gt;=J7,J8,K8))))</f>
        <v>5</v>
      </c>
      <c r="O6" s="1443"/>
      <c r="P6" s="1339" t="s">
        <v>2</v>
      </c>
    </row>
    <row r="7" spans="1:19">
      <c r="A7" s="1449"/>
      <c r="B7" s="1450"/>
      <c r="C7" s="1450"/>
      <c r="D7" s="1450"/>
      <c r="E7" s="1450"/>
      <c r="F7" s="1451"/>
      <c r="G7" s="144"/>
      <c r="H7" s="145">
        <f>IF(A6="800세대이상 1,200세대미만",G6-6,IF(A6="1,200세대이상",G6-16,G6-3))</f>
        <v>30</v>
      </c>
      <c r="I7" s="145">
        <f>IF(A6="800세대이상 1,200세대미만",I6-6,IF(A6="1,200세대이상",I6-16,I6-3))</f>
        <v>24</v>
      </c>
      <c r="J7" s="145">
        <f>IF(A6="800세대이상 1,200세대미만",J6-6,IF(A6="1,200세대이상",J6-16,J6-2))</f>
        <v>18</v>
      </c>
      <c r="K7" s="146"/>
      <c r="L7" s="1462"/>
      <c r="M7" s="1463"/>
      <c r="N7" s="1471"/>
      <c r="O7" s="1444"/>
      <c r="P7" s="1340"/>
    </row>
    <row r="8" spans="1:19" ht="17.25" thickBot="1">
      <c r="A8" s="1291" t="s">
        <v>12</v>
      </c>
      <c r="B8" s="1453"/>
      <c r="C8" s="1453"/>
      <c r="D8" s="1453"/>
      <c r="E8" s="1453"/>
      <c r="F8" s="1454"/>
      <c r="G8" s="377">
        <v>8</v>
      </c>
      <c r="H8" s="377">
        <v>7</v>
      </c>
      <c r="I8" s="377">
        <v>6</v>
      </c>
      <c r="J8" s="377">
        <v>5</v>
      </c>
      <c r="K8" s="377">
        <v>4</v>
      </c>
      <c r="L8" s="1464"/>
      <c r="M8" s="1465"/>
      <c r="N8" s="1472"/>
      <c r="O8" s="1445"/>
      <c r="P8" s="1341"/>
    </row>
    <row r="9" spans="1:19" ht="17.25" thickBot="1">
      <c r="A9" s="401"/>
      <c r="B9" s="401"/>
      <c r="C9" s="401"/>
      <c r="D9" s="401"/>
      <c r="E9" s="401"/>
      <c r="F9" s="401"/>
      <c r="G9" s="401"/>
      <c r="H9" s="401"/>
      <c r="I9" s="401"/>
      <c r="J9" s="402"/>
      <c r="K9" s="403"/>
      <c r="L9" s="403"/>
      <c r="M9" s="403"/>
      <c r="N9" s="401"/>
      <c r="O9" s="401"/>
      <c r="P9" s="678"/>
    </row>
    <row r="10" spans="1:19" ht="16.5" customHeight="1">
      <c r="A10" s="1455" t="s">
        <v>79</v>
      </c>
      <c r="B10" s="1456"/>
      <c r="C10" s="1425" t="s">
        <v>333</v>
      </c>
      <c r="D10" s="1427" t="s">
        <v>80</v>
      </c>
      <c r="E10" s="1428"/>
      <c r="F10" s="1440" t="s">
        <v>571</v>
      </c>
      <c r="G10" s="1441"/>
      <c r="H10" s="1442"/>
      <c r="I10" s="1437" t="s">
        <v>476</v>
      </c>
      <c r="J10" s="1438"/>
      <c r="K10" s="1439"/>
      <c r="L10" s="1431" t="s">
        <v>327</v>
      </c>
      <c r="M10" s="1433" t="s">
        <v>334</v>
      </c>
      <c r="N10" s="1435" t="s">
        <v>382</v>
      </c>
      <c r="O10" s="1423" t="s">
        <v>328</v>
      </c>
      <c r="P10" s="1423" t="s">
        <v>329</v>
      </c>
    </row>
    <row r="11" spans="1:19" ht="17.25" thickBot="1">
      <c r="A11" s="1457"/>
      <c r="B11" s="1458"/>
      <c r="C11" s="1426"/>
      <c r="D11" s="1429"/>
      <c r="E11" s="1430"/>
      <c r="F11" s="662" t="s">
        <v>330</v>
      </c>
      <c r="G11" s="662" t="s">
        <v>331</v>
      </c>
      <c r="H11" s="630" t="s">
        <v>477</v>
      </c>
      <c r="I11" s="662" t="s">
        <v>330</v>
      </c>
      <c r="J11" s="662" t="s">
        <v>331</v>
      </c>
      <c r="K11" s="630" t="s">
        <v>477</v>
      </c>
      <c r="L11" s="1432"/>
      <c r="M11" s="1434"/>
      <c r="N11" s="1436"/>
      <c r="O11" s="1424"/>
      <c r="P11" s="1424"/>
      <c r="S11" s="404"/>
    </row>
    <row r="12" spans="1:19" ht="17.25" customHeight="1" thickTop="1">
      <c r="A12" s="1492" t="s">
        <v>82</v>
      </c>
      <c r="B12" s="1389" t="s">
        <v>455</v>
      </c>
      <c r="C12" s="583"/>
      <c r="D12" s="1477" t="s">
        <v>435</v>
      </c>
      <c r="E12" s="1477"/>
      <c r="F12" s="584">
        <v>44562</v>
      </c>
      <c r="G12" s="584">
        <v>45291</v>
      </c>
      <c r="H12" s="586">
        <f t="shared" ref="H12:H29" si="0">IF(D12="","",G12-F12+1)</f>
        <v>730</v>
      </c>
      <c r="I12" s="585">
        <f t="shared" ref="I12:I29" si="1">IF(D12="","",IF($O$3&gt;=F12,$O$3,F12))</f>
        <v>44562</v>
      </c>
      <c r="J12" s="585">
        <f t="shared" ref="J12:J29" si="2">IF(D12="","",IF($P$3&gt;=G12,G12,$P$3))</f>
        <v>45291</v>
      </c>
      <c r="K12" s="586">
        <f t="shared" ref="K12:K29" si="3">IF(D12="","",J12-I12+1)</f>
        <v>730</v>
      </c>
      <c r="L12" s="656">
        <v>100000</v>
      </c>
      <c r="M12" s="657">
        <v>1</v>
      </c>
      <c r="N12" s="673">
        <v>1</v>
      </c>
      <c r="O12" s="587">
        <f>IF(D12="","",TRUNC((K12/H12)*M12*N12*L12,0))</f>
        <v>100000</v>
      </c>
      <c r="P12" s="874" t="s">
        <v>320</v>
      </c>
      <c r="Q12" s="444"/>
      <c r="R12" s="622" t="s">
        <v>456</v>
      </c>
    </row>
    <row r="13" spans="1:19">
      <c r="A13" s="1406"/>
      <c r="B13" s="1390"/>
      <c r="C13" s="588"/>
      <c r="D13" s="1473" t="s">
        <v>475</v>
      </c>
      <c r="E13" s="1474"/>
      <c r="F13" s="584">
        <v>44197</v>
      </c>
      <c r="G13" s="584">
        <v>45657</v>
      </c>
      <c r="H13" s="586">
        <f t="shared" si="0"/>
        <v>1461</v>
      </c>
      <c r="I13" s="585">
        <f t="shared" si="1"/>
        <v>44197</v>
      </c>
      <c r="J13" s="585">
        <f t="shared" si="2"/>
        <v>45291</v>
      </c>
      <c r="K13" s="586">
        <f t="shared" si="3"/>
        <v>1095</v>
      </c>
      <c r="L13" s="656">
        <v>10000</v>
      </c>
      <c r="M13" s="657">
        <v>0.5</v>
      </c>
      <c r="N13" s="673">
        <v>1</v>
      </c>
      <c r="O13" s="587">
        <f>IF(D13="","",TRUNC((K13/H13)*M13*N13*L13,0))</f>
        <v>3747</v>
      </c>
      <c r="P13" s="874" t="s">
        <v>478</v>
      </c>
    </row>
    <row r="14" spans="1:19">
      <c r="A14" s="1406"/>
      <c r="B14" s="1390"/>
      <c r="C14" s="588"/>
      <c r="D14" s="1475"/>
      <c r="E14" s="1476"/>
      <c r="F14" s="584"/>
      <c r="G14" s="584"/>
      <c r="H14" s="586" t="str">
        <f t="shared" si="0"/>
        <v/>
      </c>
      <c r="I14" s="585" t="str">
        <f t="shared" si="1"/>
        <v/>
      </c>
      <c r="J14" s="585" t="str">
        <f t="shared" si="2"/>
        <v/>
      </c>
      <c r="K14" s="586" t="str">
        <f t="shared" si="3"/>
        <v/>
      </c>
      <c r="L14" s="656"/>
      <c r="M14" s="657"/>
      <c r="N14" s="673">
        <v>1</v>
      </c>
      <c r="O14" s="587" t="str">
        <f t="shared" ref="O14:O29" si="4">IF(D14="","",TRUNC((K14/H14)*M14*N14*L14,0))</f>
        <v/>
      </c>
      <c r="P14" s="874" t="s">
        <v>478</v>
      </c>
    </row>
    <row r="15" spans="1:19">
      <c r="A15" s="1406"/>
      <c r="B15" s="1390"/>
      <c r="C15" s="588"/>
      <c r="D15" s="1475"/>
      <c r="E15" s="1476"/>
      <c r="F15" s="584"/>
      <c r="G15" s="584"/>
      <c r="H15" s="586" t="str">
        <f t="shared" si="0"/>
        <v/>
      </c>
      <c r="I15" s="585" t="str">
        <f t="shared" si="1"/>
        <v/>
      </c>
      <c r="J15" s="585" t="str">
        <f t="shared" si="2"/>
        <v/>
      </c>
      <c r="K15" s="586" t="str">
        <f t="shared" si="3"/>
        <v/>
      </c>
      <c r="L15" s="656"/>
      <c r="M15" s="657"/>
      <c r="N15" s="673">
        <v>1</v>
      </c>
      <c r="O15" s="587" t="str">
        <f t="shared" si="4"/>
        <v/>
      </c>
      <c r="P15" s="874" t="s">
        <v>478</v>
      </c>
    </row>
    <row r="16" spans="1:19">
      <c r="A16" s="1406"/>
      <c r="B16" s="1390"/>
      <c r="C16" s="588"/>
      <c r="D16" s="1475"/>
      <c r="E16" s="1476"/>
      <c r="F16" s="584"/>
      <c r="G16" s="584"/>
      <c r="H16" s="586" t="str">
        <f t="shared" si="0"/>
        <v/>
      </c>
      <c r="I16" s="585" t="str">
        <f t="shared" si="1"/>
        <v/>
      </c>
      <c r="J16" s="585" t="str">
        <f t="shared" si="2"/>
        <v/>
      </c>
      <c r="K16" s="586" t="str">
        <f t="shared" si="3"/>
        <v/>
      </c>
      <c r="L16" s="656"/>
      <c r="M16" s="657"/>
      <c r="N16" s="673">
        <v>1</v>
      </c>
      <c r="O16" s="587" t="str">
        <f t="shared" si="4"/>
        <v/>
      </c>
      <c r="P16" s="874" t="s">
        <v>478</v>
      </c>
    </row>
    <row r="17" spans="1:16">
      <c r="A17" s="1406"/>
      <c r="B17" s="1390"/>
      <c r="C17" s="588"/>
      <c r="D17" s="1475"/>
      <c r="E17" s="1476"/>
      <c r="F17" s="584"/>
      <c r="G17" s="584"/>
      <c r="H17" s="586" t="str">
        <f t="shared" si="0"/>
        <v/>
      </c>
      <c r="I17" s="585" t="str">
        <f t="shared" si="1"/>
        <v/>
      </c>
      <c r="J17" s="585" t="str">
        <f t="shared" si="2"/>
        <v/>
      </c>
      <c r="K17" s="586" t="str">
        <f t="shared" si="3"/>
        <v/>
      </c>
      <c r="L17" s="656"/>
      <c r="M17" s="657"/>
      <c r="N17" s="673">
        <v>1</v>
      </c>
      <c r="O17" s="587" t="str">
        <f t="shared" si="4"/>
        <v/>
      </c>
      <c r="P17" s="874" t="s">
        <v>478</v>
      </c>
    </row>
    <row r="18" spans="1:16">
      <c r="A18" s="1406"/>
      <c r="B18" s="1390"/>
      <c r="C18" s="588"/>
      <c r="D18" s="1475"/>
      <c r="E18" s="1476"/>
      <c r="F18" s="584"/>
      <c r="G18" s="584"/>
      <c r="H18" s="586" t="str">
        <f t="shared" si="0"/>
        <v/>
      </c>
      <c r="I18" s="585" t="str">
        <f t="shared" si="1"/>
        <v/>
      </c>
      <c r="J18" s="585" t="str">
        <f t="shared" si="2"/>
        <v/>
      </c>
      <c r="K18" s="586" t="str">
        <f t="shared" si="3"/>
        <v/>
      </c>
      <c r="L18" s="656"/>
      <c r="M18" s="657"/>
      <c r="N18" s="673">
        <v>1</v>
      </c>
      <c r="O18" s="587" t="str">
        <f t="shared" si="4"/>
        <v/>
      </c>
      <c r="P18" s="874" t="s">
        <v>478</v>
      </c>
    </row>
    <row r="19" spans="1:16">
      <c r="A19" s="1406"/>
      <c r="B19" s="1390"/>
      <c r="C19" s="588"/>
      <c r="D19" s="1475"/>
      <c r="E19" s="1476"/>
      <c r="F19" s="584"/>
      <c r="G19" s="584"/>
      <c r="H19" s="586" t="str">
        <f t="shared" si="0"/>
        <v/>
      </c>
      <c r="I19" s="585" t="str">
        <f t="shared" si="1"/>
        <v/>
      </c>
      <c r="J19" s="585" t="str">
        <f t="shared" si="2"/>
        <v/>
      </c>
      <c r="K19" s="586" t="str">
        <f t="shared" si="3"/>
        <v/>
      </c>
      <c r="L19" s="656"/>
      <c r="M19" s="657"/>
      <c r="N19" s="673">
        <v>1</v>
      </c>
      <c r="O19" s="587" t="str">
        <f t="shared" si="4"/>
        <v/>
      </c>
      <c r="P19" s="874" t="s">
        <v>478</v>
      </c>
    </row>
    <row r="20" spans="1:16">
      <c r="A20" s="1406"/>
      <c r="B20" s="1390"/>
      <c r="C20" s="588"/>
      <c r="D20" s="1383"/>
      <c r="E20" s="1384"/>
      <c r="F20" s="584"/>
      <c r="G20" s="584"/>
      <c r="H20" s="586" t="str">
        <f t="shared" si="0"/>
        <v/>
      </c>
      <c r="I20" s="585" t="str">
        <f t="shared" si="1"/>
        <v/>
      </c>
      <c r="J20" s="585" t="str">
        <f t="shared" si="2"/>
        <v/>
      </c>
      <c r="K20" s="586" t="str">
        <f t="shared" si="3"/>
        <v/>
      </c>
      <c r="L20" s="656"/>
      <c r="M20" s="657"/>
      <c r="N20" s="673">
        <v>1</v>
      </c>
      <c r="O20" s="587" t="str">
        <f t="shared" si="4"/>
        <v/>
      </c>
      <c r="P20" s="874" t="s">
        <v>478</v>
      </c>
    </row>
    <row r="21" spans="1:16">
      <c r="A21" s="1406"/>
      <c r="B21" s="1390"/>
      <c r="C21" s="588"/>
      <c r="D21" s="1475"/>
      <c r="E21" s="1476"/>
      <c r="F21" s="584"/>
      <c r="G21" s="584"/>
      <c r="H21" s="586" t="str">
        <f t="shared" si="0"/>
        <v/>
      </c>
      <c r="I21" s="585" t="str">
        <f t="shared" si="1"/>
        <v/>
      </c>
      <c r="J21" s="585" t="str">
        <f t="shared" si="2"/>
        <v/>
      </c>
      <c r="K21" s="586" t="str">
        <f t="shared" si="3"/>
        <v/>
      </c>
      <c r="L21" s="656"/>
      <c r="M21" s="657"/>
      <c r="N21" s="673">
        <v>1</v>
      </c>
      <c r="O21" s="587" t="str">
        <f t="shared" si="4"/>
        <v/>
      </c>
      <c r="P21" s="874" t="s">
        <v>478</v>
      </c>
    </row>
    <row r="22" spans="1:16">
      <c r="A22" s="1406"/>
      <c r="B22" s="1391" t="str">
        <f>작성요령!M14</f>
        <v>주거시설(21)에 대한 공사감리</v>
      </c>
      <c r="C22" s="588"/>
      <c r="D22" s="1475"/>
      <c r="E22" s="1476"/>
      <c r="F22" s="584"/>
      <c r="G22" s="584"/>
      <c r="H22" s="586" t="str">
        <f t="shared" si="0"/>
        <v/>
      </c>
      <c r="I22" s="585" t="str">
        <f t="shared" si="1"/>
        <v/>
      </c>
      <c r="J22" s="585" t="str">
        <f t="shared" si="2"/>
        <v/>
      </c>
      <c r="K22" s="586" t="str">
        <f t="shared" si="3"/>
        <v/>
      </c>
      <c r="L22" s="656"/>
      <c r="M22" s="657"/>
      <c r="N22" s="673">
        <v>1</v>
      </c>
      <c r="O22" s="587" t="str">
        <f t="shared" si="4"/>
        <v/>
      </c>
      <c r="P22" s="874" t="s">
        <v>478</v>
      </c>
    </row>
    <row r="23" spans="1:16">
      <c r="A23" s="1406"/>
      <c r="B23" s="1391"/>
      <c r="C23" s="588"/>
      <c r="D23" s="1475"/>
      <c r="E23" s="1476"/>
      <c r="F23" s="584"/>
      <c r="G23" s="584"/>
      <c r="H23" s="586" t="str">
        <f t="shared" si="0"/>
        <v/>
      </c>
      <c r="I23" s="585" t="str">
        <f t="shared" si="1"/>
        <v/>
      </c>
      <c r="J23" s="585" t="str">
        <f t="shared" si="2"/>
        <v/>
      </c>
      <c r="K23" s="586" t="str">
        <f t="shared" si="3"/>
        <v/>
      </c>
      <c r="L23" s="656"/>
      <c r="M23" s="657"/>
      <c r="N23" s="673">
        <v>1</v>
      </c>
      <c r="O23" s="587" t="str">
        <f t="shared" si="4"/>
        <v/>
      </c>
      <c r="P23" s="874" t="s">
        <v>478</v>
      </c>
    </row>
    <row r="24" spans="1:16">
      <c r="A24" s="1406"/>
      <c r="B24" s="1391"/>
      <c r="C24" s="588"/>
      <c r="D24" s="1475"/>
      <c r="E24" s="1476"/>
      <c r="F24" s="584"/>
      <c r="G24" s="584"/>
      <c r="H24" s="586" t="str">
        <f t="shared" si="0"/>
        <v/>
      </c>
      <c r="I24" s="585" t="str">
        <f t="shared" si="1"/>
        <v/>
      </c>
      <c r="J24" s="585" t="str">
        <f t="shared" si="2"/>
        <v/>
      </c>
      <c r="K24" s="586" t="str">
        <f t="shared" si="3"/>
        <v/>
      </c>
      <c r="L24" s="656"/>
      <c r="M24" s="657"/>
      <c r="N24" s="673">
        <v>1</v>
      </c>
      <c r="O24" s="587" t="str">
        <f t="shared" si="4"/>
        <v/>
      </c>
      <c r="P24" s="874" t="s">
        <v>478</v>
      </c>
    </row>
    <row r="25" spans="1:16">
      <c r="A25" s="1406"/>
      <c r="B25" s="1391"/>
      <c r="C25" s="588"/>
      <c r="D25" s="1475"/>
      <c r="E25" s="1476"/>
      <c r="F25" s="584"/>
      <c r="G25" s="584"/>
      <c r="H25" s="586" t="str">
        <f t="shared" si="0"/>
        <v/>
      </c>
      <c r="I25" s="585" t="str">
        <f t="shared" si="1"/>
        <v/>
      </c>
      <c r="J25" s="585" t="str">
        <f t="shared" si="2"/>
        <v/>
      </c>
      <c r="K25" s="586" t="str">
        <f t="shared" si="3"/>
        <v/>
      </c>
      <c r="L25" s="656"/>
      <c r="M25" s="657"/>
      <c r="N25" s="673">
        <v>1</v>
      </c>
      <c r="O25" s="587" t="str">
        <f t="shared" si="4"/>
        <v/>
      </c>
      <c r="P25" s="874" t="s">
        <v>478</v>
      </c>
    </row>
    <row r="26" spans="1:16">
      <c r="A26" s="1406"/>
      <c r="B26" s="1391"/>
      <c r="C26" s="588"/>
      <c r="D26" s="1475"/>
      <c r="E26" s="1476"/>
      <c r="F26" s="584"/>
      <c r="G26" s="584"/>
      <c r="H26" s="586" t="str">
        <f t="shared" si="0"/>
        <v/>
      </c>
      <c r="I26" s="585" t="str">
        <f t="shared" si="1"/>
        <v/>
      </c>
      <c r="J26" s="585" t="str">
        <f t="shared" si="2"/>
        <v/>
      </c>
      <c r="K26" s="586" t="str">
        <f t="shared" si="3"/>
        <v/>
      </c>
      <c r="L26" s="656"/>
      <c r="M26" s="657"/>
      <c r="N26" s="673">
        <v>1</v>
      </c>
      <c r="O26" s="587" t="str">
        <f t="shared" si="4"/>
        <v/>
      </c>
      <c r="P26" s="874" t="s">
        <v>478</v>
      </c>
    </row>
    <row r="27" spans="1:16">
      <c r="A27" s="1406"/>
      <c r="B27" s="1391"/>
      <c r="C27" s="588"/>
      <c r="D27" s="1475"/>
      <c r="E27" s="1476"/>
      <c r="F27" s="584"/>
      <c r="G27" s="584"/>
      <c r="H27" s="586" t="str">
        <f t="shared" si="0"/>
        <v/>
      </c>
      <c r="I27" s="585" t="str">
        <f t="shared" si="1"/>
        <v/>
      </c>
      <c r="J27" s="585" t="str">
        <f t="shared" si="2"/>
        <v/>
      </c>
      <c r="K27" s="586" t="str">
        <f t="shared" si="3"/>
        <v/>
      </c>
      <c r="L27" s="656"/>
      <c r="M27" s="657"/>
      <c r="N27" s="673">
        <v>1</v>
      </c>
      <c r="O27" s="587" t="str">
        <f t="shared" si="4"/>
        <v/>
      </c>
      <c r="P27" s="874" t="s">
        <v>478</v>
      </c>
    </row>
    <row r="28" spans="1:16">
      <c r="A28" s="1406"/>
      <c r="B28" s="1391"/>
      <c r="C28" s="588"/>
      <c r="D28" s="1383"/>
      <c r="E28" s="1384"/>
      <c r="F28" s="584"/>
      <c r="G28" s="584"/>
      <c r="H28" s="586" t="str">
        <f t="shared" si="0"/>
        <v/>
      </c>
      <c r="I28" s="585" t="str">
        <f t="shared" si="1"/>
        <v/>
      </c>
      <c r="J28" s="585" t="str">
        <f t="shared" si="2"/>
        <v/>
      </c>
      <c r="K28" s="586" t="str">
        <f t="shared" si="3"/>
        <v/>
      </c>
      <c r="L28" s="656"/>
      <c r="M28" s="657"/>
      <c r="N28" s="673">
        <v>1</v>
      </c>
      <c r="O28" s="587" t="str">
        <f t="shared" si="4"/>
        <v/>
      </c>
      <c r="P28" s="874" t="s">
        <v>478</v>
      </c>
    </row>
    <row r="29" spans="1:16">
      <c r="A29" s="1406"/>
      <c r="B29" s="1391"/>
      <c r="C29" s="589"/>
      <c r="D29" s="1380"/>
      <c r="E29" s="1381"/>
      <c r="F29" s="584"/>
      <c r="G29" s="584"/>
      <c r="H29" s="586" t="str">
        <f t="shared" si="0"/>
        <v/>
      </c>
      <c r="I29" s="585" t="str">
        <f t="shared" si="1"/>
        <v/>
      </c>
      <c r="J29" s="585" t="str">
        <f t="shared" si="2"/>
        <v/>
      </c>
      <c r="K29" s="586" t="str">
        <f t="shared" si="3"/>
        <v/>
      </c>
      <c r="L29" s="656"/>
      <c r="M29" s="657"/>
      <c r="N29" s="673">
        <v>1</v>
      </c>
      <c r="O29" s="587" t="str">
        <f t="shared" si="4"/>
        <v/>
      </c>
      <c r="P29" s="874" t="s">
        <v>478</v>
      </c>
    </row>
    <row r="30" spans="1:16">
      <c r="A30" s="1406"/>
      <c r="B30" s="1392"/>
      <c r="C30" s="1478" t="s">
        <v>157</v>
      </c>
      <c r="D30" s="1479"/>
      <c r="E30" s="1479"/>
      <c r="F30" s="1479"/>
      <c r="G30" s="1479"/>
      <c r="H30" s="1479"/>
      <c r="I30" s="1479"/>
      <c r="J30" s="1479"/>
      <c r="K30" s="1479"/>
      <c r="L30" s="1479"/>
      <c r="M30" s="1479"/>
      <c r="N30" s="1480"/>
      <c r="O30" s="1396">
        <f>SUM(O12:O29)</f>
        <v>103747</v>
      </c>
      <c r="P30" s="1397"/>
    </row>
    <row r="31" spans="1:16" ht="16.5" customHeight="1">
      <c r="A31" s="1406"/>
      <c r="B31" s="1385" t="s">
        <v>459</v>
      </c>
      <c r="C31" s="590"/>
      <c r="D31" s="1477" t="s">
        <v>435</v>
      </c>
      <c r="E31" s="1477"/>
      <c r="F31" s="591">
        <v>43831</v>
      </c>
      <c r="G31" s="592">
        <v>45291</v>
      </c>
      <c r="H31" s="586">
        <f t="shared" ref="H31:H61" si="5">IF(D31="","",G31-F31+1)</f>
        <v>1461</v>
      </c>
      <c r="I31" s="585">
        <f t="shared" ref="I31:I61" si="6">IF(D31="","",IF($O$3&gt;=F31,$O$3,F31))</f>
        <v>44196</v>
      </c>
      <c r="J31" s="585">
        <f t="shared" ref="J31:J61" si="7">IF(D31="","",IF($P$3&gt;=G31,G31,$P$3))</f>
        <v>45291</v>
      </c>
      <c r="K31" s="586">
        <f t="shared" ref="K31:K61" si="8">IF(D31="","",J31-I31+1)</f>
        <v>1096</v>
      </c>
      <c r="L31" s="665">
        <v>10000</v>
      </c>
      <c r="M31" s="658">
        <v>1</v>
      </c>
      <c r="N31" s="674">
        <v>0.6</v>
      </c>
      <c r="O31" s="587">
        <f>IF(D31="","",TRUNC((K31/H31)*M31*N31*L31,0))</f>
        <v>4501</v>
      </c>
      <c r="P31" s="679" t="s">
        <v>479</v>
      </c>
    </row>
    <row r="32" spans="1:16">
      <c r="A32" s="1406"/>
      <c r="B32" s="1386"/>
      <c r="C32" s="590"/>
      <c r="D32" s="1380"/>
      <c r="E32" s="1382"/>
      <c r="F32" s="593"/>
      <c r="G32" s="594"/>
      <c r="H32" s="586" t="str">
        <f t="shared" si="5"/>
        <v/>
      </c>
      <c r="I32" s="585" t="str">
        <f t="shared" si="6"/>
        <v/>
      </c>
      <c r="J32" s="585" t="str">
        <f t="shared" si="7"/>
        <v/>
      </c>
      <c r="K32" s="586" t="str">
        <f t="shared" si="8"/>
        <v/>
      </c>
      <c r="L32" s="665"/>
      <c r="M32" s="658"/>
      <c r="N32" s="674">
        <v>0.6</v>
      </c>
      <c r="O32" s="587" t="str">
        <f>IF(D32="","",TRUNC((K32/H32)*M32*N32*L32,0))</f>
        <v/>
      </c>
      <c r="P32" s="679"/>
    </row>
    <row r="33" spans="1:18">
      <c r="A33" s="1406"/>
      <c r="B33" s="1386"/>
      <c r="C33" s="590"/>
      <c r="D33" s="1380"/>
      <c r="E33" s="1382"/>
      <c r="F33" s="593"/>
      <c r="G33" s="594"/>
      <c r="H33" s="586" t="str">
        <f t="shared" si="5"/>
        <v/>
      </c>
      <c r="I33" s="585" t="str">
        <f t="shared" si="6"/>
        <v/>
      </c>
      <c r="J33" s="585" t="str">
        <f t="shared" si="7"/>
        <v/>
      </c>
      <c r="K33" s="586" t="str">
        <f t="shared" si="8"/>
        <v/>
      </c>
      <c r="L33" s="665"/>
      <c r="M33" s="658"/>
      <c r="N33" s="674">
        <v>0.6</v>
      </c>
      <c r="O33" s="587" t="str">
        <f t="shared" ref="O33:O61" si="9">IF(D33="","",TRUNC((K33/H33)*M33*N33*L33,0))</f>
        <v/>
      </c>
      <c r="P33" s="679"/>
    </row>
    <row r="34" spans="1:18">
      <c r="A34" s="1406"/>
      <c r="B34" s="1386"/>
      <c r="C34" s="590"/>
      <c r="D34" s="1380"/>
      <c r="E34" s="1382"/>
      <c r="F34" s="593"/>
      <c r="G34" s="594"/>
      <c r="H34" s="586" t="str">
        <f t="shared" si="5"/>
        <v/>
      </c>
      <c r="I34" s="585" t="str">
        <f t="shared" si="6"/>
        <v/>
      </c>
      <c r="J34" s="585" t="str">
        <f t="shared" si="7"/>
        <v/>
      </c>
      <c r="K34" s="586" t="str">
        <f t="shared" si="8"/>
        <v/>
      </c>
      <c r="L34" s="665"/>
      <c r="M34" s="658"/>
      <c r="N34" s="674">
        <v>0.6</v>
      </c>
      <c r="O34" s="587" t="str">
        <f t="shared" si="9"/>
        <v/>
      </c>
      <c r="P34" s="679"/>
    </row>
    <row r="35" spans="1:18">
      <c r="A35" s="1406"/>
      <c r="B35" s="1386"/>
      <c r="C35" s="590"/>
      <c r="D35" s="1380"/>
      <c r="E35" s="1382"/>
      <c r="F35" s="593"/>
      <c r="G35" s="594"/>
      <c r="H35" s="586" t="str">
        <f t="shared" si="5"/>
        <v/>
      </c>
      <c r="I35" s="585" t="str">
        <f t="shared" si="6"/>
        <v/>
      </c>
      <c r="J35" s="585" t="str">
        <f t="shared" si="7"/>
        <v/>
      </c>
      <c r="K35" s="586" t="str">
        <f t="shared" si="8"/>
        <v/>
      </c>
      <c r="L35" s="665"/>
      <c r="M35" s="658"/>
      <c r="N35" s="674">
        <v>0.6</v>
      </c>
      <c r="O35" s="587" t="str">
        <f t="shared" si="9"/>
        <v/>
      </c>
      <c r="P35" s="679"/>
    </row>
    <row r="36" spans="1:18">
      <c r="A36" s="1406"/>
      <c r="B36" s="1386"/>
      <c r="C36" s="590"/>
      <c r="D36" s="1380"/>
      <c r="E36" s="1382"/>
      <c r="F36" s="593"/>
      <c r="G36" s="594"/>
      <c r="H36" s="586" t="str">
        <f t="shared" si="5"/>
        <v/>
      </c>
      <c r="I36" s="585" t="str">
        <f t="shared" si="6"/>
        <v/>
      </c>
      <c r="J36" s="585" t="str">
        <f t="shared" si="7"/>
        <v/>
      </c>
      <c r="K36" s="586" t="str">
        <f t="shared" si="8"/>
        <v/>
      </c>
      <c r="L36" s="665"/>
      <c r="M36" s="658"/>
      <c r="N36" s="674">
        <v>0.6</v>
      </c>
      <c r="O36" s="587" t="str">
        <f t="shared" si="9"/>
        <v/>
      </c>
      <c r="P36" s="679"/>
    </row>
    <row r="37" spans="1:18">
      <c r="A37" s="1406"/>
      <c r="B37" s="1386"/>
      <c r="C37" s="590"/>
      <c r="D37" s="1380"/>
      <c r="E37" s="1382"/>
      <c r="F37" s="593"/>
      <c r="G37" s="594"/>
      <c r="H37" s="586" t="str">
        <f t="shared" si="5"/>
        <v/>
      </c>
      <c r="I37" s="585" t="str">
        <f t="shared" si="6"/>
        <v/>
      </c>
      <c r="J37" s="585" t="str">
        <f t="shared" si="7"/>
        <v/>
      </c>
      <c r="K37" s="586" t="str">
        <f t="shared" si="8"/>
        <v/>
      </c>
      <c r="L37" s="665"/>
      <c r="M37" s="658"/>
      <c r="N37" s="674">
        <v>0.6</v>
      </c>
      <c r="O37" s="587" t="str">
        <f t="shared" si="9"/>
        <v/>
      </c>
      <c r="P37" s="679"/>
    </row>
    <row r="38" spans="1:18">
      <c r="A38" s="1406"/>
      <c r="B38" s="1386"/>
      <c r="C38" s="590"/>
      <c r="D38" s="1380"/>
      <c r="E38" s="1382"/>
      <c r="F38" s="593"/>
      <c r="G38" s="594"/>
      <c r="H38" s="586" t="str">
        <f t="shared" si="5"/>
        <v/>
      </c>
      <c r="I38" s="585" t="str">
        <f t="shared" si="6"/>
        <v/>
      </c>
      <c r="J38" s="585" t="str">
        <f t="shared" si="7"/>
        <v/>
      </c>
      <c r="K38" s="586" t="str">
        <f t="shared" si="8"/>
        <v/>
      </c>
      <c r="L38" s="665"/>
      <c r="M38" s="658"/>
      <c r="N38" s="674">
        <v>0.6</v>
      </c>
      <c r="O38" s="587" t="str">
        <f t="shared" si="9"/>
        <v/>
      </c>
      <c r="P38" s="679"/>
    </row>
    <row r="39" spans="1:18">
      <c r="A39" s="1406"/>
      <c r="B39" s="1386"/>
      <c r="C39" s="590"/>
      <c r="D39" s="1380"/>
      <c r="E39" s="1382"/>
      <c r="F39" s="593"/>
      <c r="G39" s="594"/>
      <c r="H39" s="586" t="str">
        <f t="shared" si="5"/>
        <v/>
      </c>
      <c r="I39" s="585" t="str">
        <f t="shared" si="6"/>
        <v/>
      </c>
      <c r="J39" s="585" t="str">
        <f t="shared" si="7"/>
        <v/>
      </c>
      <c r="K39" s="586" t="str">
        <f t="shared" si="8"/>
        <v/>
      </c>
      <c r="L39" s="665"/>
      <c r="M39" s="658"/>
      <c r="N39" s="674">
        <v>0.6</v>
      </c>
      <c r="O39" s="587" t="str">
        <f t="shared" si="9"/>
        <v/>
      </c>
      <c r="P39" s="679"/>
    </row>
    <row r="40" spans="1:18">
      <c r="A40" s="1406"/>
      <c r="B40" s="1386"/>
      <c r="C40" s="590"/>
      <c r="D40" s="1380"/>
      <c r="E40" s="1382"/>
      <c r="F40" s="593"/>
      <c r="G40" s="594"/>
      <c r="H40" s="586" t="str">
        <f t="shared" si="5"/>
        <v/>
      </c>
      <c r="I40" s="585" t="str">
        <f t="shared" si="6"/>
        <v/>
      </c>
      <c r="J40" s="585" t="str">
        <f t="shared" si="7"/>
        <v/>
      </c>
      <c r="K40" s="586" t="str">
        <f t="shared" si="8"/>
        <v/>
      </c>
      <c r="L40" s="665"/>
      <c r="M40" s="658"/>
      <c r="N40" s="674">
        <v>0.6</v>
      </c>
      <c r="O40" s="587" t="str">
        <f t="shared" si="9"/>
        <v/>
      </c>
      <c r="P40" s="679"/>
    </row>
    <row r="41" spans="1:18">
      <c r="A41" s="1406"/>
      <c r="B41" s="1386"/>
      <c r="C41" s="590"/>
      <c r="D41" s="1380"/>
      <c r="E41" s="1382"/>
      <c r="F41" s="593"/>
      <c r="G41" s="594"/>
      <c r="H41" s="586" t="str">
        <f t="shared" si="5"/>
        <v/>
      </c>
      <c r="I41" s="585" t="str">
        <f t="shared" si="6"/>
        <v/>
      </c>
      <c r="J41" s="585" t="str">
        <f t="shared" si="7"/>
        <v/>
      </c>
      <c r="K41" s="586" t="str">
        <f t="shared" si="8"/>
        <v/>
      </c>
      <c r="L41" s="665"/>
      <c r="M41" s="658"/>
      <c r="N41" s="674">
        <v>0.6</v>
      </c>
      <c r="O41" s="587" t="str">
        <f t="shared" si="9"/>
        <v/>
      </c>
      <c r="P41" s="679"/>
    </row>
    <row r="42" spans="1:18">
      <c r="A42" s="1406"/>
      <c r="B42" s="1386"/>
      <c r="C42" s="590"/>
      <c r="D42" s="1380"/>
      <c r="E42" s="1382"/>
      <c r="F42" s="593"/>
      <c r="G42" s="594"/>
      <c r="H42" s="586" t="str">
        <f t="shared" si="5"/>
        <v/>
      </c>
      <c r="I42" s="585" t="str">
        <f t="shared" si="6"/>
        <v/>
      </c>
      <c r="J42" s="585" t="str">
        <f t="shared" si="7"/>
        <v/>
      </c>
      <c r="K42" s="586" t="str">
        <f t="shared" si="8"/>
        <v/>
      </c>
      <c r="L42" s="665"/>
      <c r="M42" s="658"/>
      <c r="N42" s="674">
        <v>0.6</v>
      </c>
      <c r="O42" s="587" t="str">
        <f t="shared" si="9"/>
        <v/>
      </c>
      <c r="P42" s="679"/>
    </row>
    <row r="43" spans="1:18">
      <c r="A43" s="1406"/>
      <c r="B43" s="1386"/>
      <c r="C43" s="590"/>
      <c r="D43" s="1380"/>
      <c r="E43" s="1382"/>
      <c r="F43" s="593"/>
      <c r="G43" s="594"/>
      <c r="H43" s="586" t="str">
        <f t="shared" si="5"/>
        <v/>
      </c>
      <c r="I43" s="585" t="str">
        <f t="shared" si="6"/>
        <v/>
      </c>
      <c r="J43" s="585" t="str">
        <f t="shared" si="7"/>
        <v/>
      </c>
      <c r="K43" s="586" t="str">
        <f t="shared" si="8"/>
        <v/>
      </c>
      <c r="L43" s="665"/>
      <c r="M43" s="658"/>
      <c r="N43" s="674">
        <v>0.6</v>
      </c>
      <c r="O43" s="587" t="str">
        <f t="shared" si="9"/>
        <v/>
      </c>
      <c r="P43" s="679"/>
    </row>
    <row r="44" spans="1:18">
      <c r="A44" s="1406"/>
      <c r="B44" s="1386"/>
      <c r="C44" s="590"/>
      <c r="D44" s="1380"/>
      <c r="E44" s="1382"/>
      <c r="F44" s="593"/>
      <c r="G44" s="594"/>
      <c r="H44" s="586" t="str">
        <f t="shared" si="5"/>
        <v/>
      </c>
      <c r="I44" s="585" t="str">
        <f t="shared" si="6"/>
        <v/>
      </c>
      <c r="J44" s="585" t="str">
        <f t="shared" si="7"/>
        <v/>
      </c>
      <c r="K44" s="586" t="str">
        <f t="shared" si="8"/>
        <v/>
      </c>
      <c r="L44" s="665"/>
      <c r="M44" s="658"/>
      <c r="N44" s="674">
        <v>0.6</v>
      </c>
      <c r="O44" s="587" t="str">
        <f t="shared" si="9"/>
        <v/>
      </c>
      <c r="P44" s="679"/>
    </row>
    <row r="45" spans="1:18">
      <c r="A45" s="1406"/>
      <c r="B45" s="1387" t="str">
        <f>작성요령!M15</f>
        <v>주거시설(21)외의 시설(20,22~29)에 대한 공사감리</v>
      </c>
      <c r="C45" s="590"/>
      <c r="D45" s="1380"/>
      <c r="E45" s="1382"/>
      <c r="F45" s="593"/>
      <c r="G45" s="594"/>
      <c r="H45" s="586" t="str">
        <f t="shared" si="5"/>
        <v/>
      </c>
      <c r="I45" s="585" t="str">
        <f t="shared" si="6"/>
        <v/>
      </c>
      <c r="J45" s="585" t="str">
        <f t="shared" si="7"/>
        <v/>
      </c>
      <c r="K45" s="586" t="str">
        <f t="shared" si="8"/>
        <v/>
      </c>
      <c r="L45" s="665"/>
      <c r="M45" s="658"/>
      <c r="N45" s="674">
        <v>0.6</v>
      </c>
      <c r="O45" s="587" t="str">
        <f t="shared" si="9"/>
        <v/>
      </c>
      <c r="P45" s="679"/>
    </row>
    <row r="46" spans="1:18">
      <c r="A46" s="1406"/>
      <c r="B46" s="1387"/>
      <c r="C46" s="590"/>
      <c r="D46" s="1380"/>
      <c r="E46" s="1382"/>
      <c r="F46" s="593"/>
      <c r="G46" s="594"/>
      <c r="H46" s="586" t="str">
        <f t="shared" si="5"/>
        <v/>
      </c>
      <c r="I46" s="585" t="str">
        <f t="shared" si="6"/>
        <v/>
      </c>
      <c r="J46" s="585" t="str">
        <f t="shared" si="7"/>
        <v/>
      </c>
      <c r="K46" s="586" t="str">
        <f t="shared" si="8"/>
        <v/>
      </c>
      <c r="L46" s="665"/>
      <c r="M46" s="658"/>
      <c r="N46" s="674">
        <v>0.6</v>
      </c>
      <c r="O46" s="587" t="str">
        <f t="shared" si="9"/>
        <v/>
      </c>
      <c r="P46" s="679"/>
    </row>
    <row r="47" spans="1:18">
      <c r="A47" s="1406"/>
      <c r="B47" s="1387"/>
      <c r="C47" s="590"/>
      <c r="D47" s="1380"/>
      <c r="E47" s="1382"/>
      <c r="F47" s="593"/>
      <c r="G47" s="594"/>
      <c r="H47" s="586" t="str">
        <f t="shared" si="5"/>
        <v/>
      </c>
      <c r="I47" s="585" t="str">
        <f t="shared" si="6"/>
        <v/>
      </c>
      <c r="J47" s="585" t="str">
        <f t="shared" si="7"/>
        <v/>
      </c>
      <c r="K47" s="586" t="str">
        <f t="shared" si="8"/>
        <v/>
      </c>
      <c r="L47" s="665"/>
      <c r="M47" s="658"/>
      <c r="N47" s="674">
        <v>0.6</v>
      </c>
      <c r="O47" s="587" t="str">
        <f t="shared" si="9"/>
        <v/>
      </c>
      <c r="P47" s="679"/>
    </row>
    <row r="48" spans="1:18">
      <c r="A48" s="1406"/>
      <c r="B48" s="1387"/>
      <c r="C48" s="590"/>
      <c r="D48" s="1380"/>
      <c r="E48" s="1382"/>
      <c r="F48" s="593"/>
      <c r="G48" s="594"/>
      <c r="H48" s="586" t="str">
        <f t="shared" si="5"/>
        <v/>
      </c>
      <c r="I48" s="585" t="str">
        <f t="shared" si="6"/>
        <v/>
      </c>
      <c r="J48" s="585" t="str">
        <f t="shared" si="7"/>
        <v/>
      </c>
      <c r="K48" s="586" t="str">
        <f t="shared" si="8"/>
        <v/>
      </c>
      <c r="L48" s="665"/>
      <c r="M48" s="658"/>
      <c r="N48" s="674">
        <v>0.6</v>
      </c>
      <c r="O48" s="587" t="str">
        <f t="shared" si="9"/>
        <v/>
      </c>
      <c r="P48" s="679"/>
      <c r="R48" s="319" t="s">
        <v>457</v>
      </c>
    </row>
    <row r="49" spans="1:18">
      <c r="A49" s="1406"/>
      <c r="B49" s="1387"/>
      <c r="C49" s="590"/>
      <c r="D49" s="1380"/>
      <c r="E49" s="1382"/>
      <c r="F49" s="593"/>
      <c r="G49" s="594"/>
      <c r="H49" s="586" t="str">
        <f t="shared" si="5"/>
        <v/>
      </c>
      <c r="I49" s="585" t="str">
        <f t="shared" si="6"/>
        <v/>
      </c>
      <c r="J49" s="585" t="str">
        <f t="shared" si="7"/>
        <v/>
      </c>
      <c r="K49" s="586" t="str">
        <f t="shared" si="8"/>
        <v/>
      </c>
      <c r="L49" s="665"/>
      <c r="M49" s="658"/>
      <c r="N49" s="674">
        <v>0.6</v>
      </c>
      <c r="O49" s="587" t="str">
        <f t="shared" si="9"/>
        <v/>
      </c>
      <c r="P49" s="679"/>
      <c r="R49" s="623" t="s">
        <v>458</v>
      </c>
    </row>
    <row r="50" spans="1:18">
      <c r="A50" s="1406"/>
      <c r="B50" s="1387"/>
      <c r="C50" s="590"/>
      <c r="D50" s="1380"/>
      <c r="E50" s="1382"/>
      <c r="F50" s="593"/>
      <c r="G50" s="594"/>
      <c r="H50" s="586" t="str">
        <f t="shared" si="5"/>
        <v/>
      </c>
      <c r="I50" s="585" t="str">
        <f t="shared" si="6"/>
        <v/>
      </c>
      <c r="J50" s="585" t="str">
        <f t="shared" si="7"/>
        <v/>
      </c>
      <c r="K50" s="586" t="str">
        <f t="shared" si="8"/>
        <v/>
      </c>
      <c r="L50" s="665"/>
      <c r="M50" s="658"/>
      <c r="N50" s="674">
        <v>0.6</v>
      </c>
      <c r="O50" s="587" t="str">
        <f t="shared" si="9"/>
        <v/>
      </c>
      <c r="P50" s="679"/>
      <c r="R50" s="319" t="s">
        <v>460</v>
      </c>
    </row>
    <row r="51" spans="1:18">
      <c r="A51" s="1406"/>
      <c r="B51" s="1387"/>
      <c r="C51" s="590"/>
      <c r="D51" s="1380"/>
      <c r="E51" s="1382"/>
      <c r="F51" s="593"/>
      <c r="G51" s="594"/>
      <c r="H51" s="586" t="str">
        <f t="shared" si="5"/>
        <v/>
      </c>
      <c r="I51" s="585" t="str">
        <f t="shared" si="6"/>
        <v/>
      </c>
      <c r="J51" s="585" t="str">
        <f t="shared" si="7"/>
        <v/>
      </c>
      <c r="K51" s="586" t="str">
        <f t="shared" si="8"/>
        <v/>
      </c>
      <c r="L51" s="665"/>
      <c r="M51" s="658"/>
      <c r="N51" s="674">
        <v>0.6</v>
      </c>
      <c r="O51" s="587" t="str">
        <f t="shared" si="9"/>
        <v/>
      </c>
      <c r="P51" s="679"/>
    </row>
    <row r="52" spans="1:18">
      <c r="A52" s="1406"/>
      <c r="B52" s="1387"/>
      <c r="C52" s="590"/>
      <c r="D52" s="1380"/>
      <c r="E52" s="1382"/>
      <c r="F52" s="593"/>
      <c r="G52" s="594"/>
      <c r="H52" s="586" t="str">
        <f t="shared" si="5"/>
        <v/>
      </c>
      <c r="I52" s="585" t="str">
        <f t="shared" si="6"/>
        <v/>
      </c>
      <c r="J52" s="585" t="str">
        <f t="shared" si="7"/>
        <v/>
      </c>
      <c r="K52" s="586" t="str">
        <f t="shared" si="8"/>
        <v/>
      </c>
      <c r="L52" s="665"/>
      <c r="M52" s="658"/>
      <c r="N52" s="674">
        <v>0.6</v>
      </c>
      <c r="O52" s="587" t="str">
        <f t="shared" si="9"/>
        <v/>
      </c>
      <c r="P52" s="679"/>
    </row>
    <row r="53" spans="1:18">
      <c r="A53" s="1406"/>
      <c r="B53" s="1387"/>
      <c r="C53" s="590"/>
      <c r="D53" s="1380"/>
      <c r="E53" s="1382"/>
      <c r="F53" s="593"/>
      <c r="G53" s="594"/>
      <c r="H53" s="586" t="str">
        <f t="shared" si="5"/>
        <v/>
      </c>
      <c r="I53" s="585" t="str">
        <f t="shared" si="6"/>
        <v/>
      </c>
      <c r="J53" s="585" t="str">
        <f t="shared" si="7"/>
        <v/>
      </c>
      <c r="K53" s="586" t="str">
        <f t="shared" si="8"/>
        <v/>
      </c>
      <c r="L53" s="665"/>
      <c r="M53" s="658"/>
      <c r="N53" s="674">
        <v>0.6</v>
      </c>
      <c r="O53" s="587" t="str">
        <f t="shared" si="9"/>
        <v/>
      </c>
      <c r="P53" s="679"/>
    </row>
    <row r="54" spans="1:18">
      <c r="A54" s="1406"/>
      <c r="B54" s="1387"/>
      <c r="C54" s="590"/>
      <c r="D54" s="1380"/>
      <c r="E54" s="1382"/>
      <c r="F54" s="593"/>
      <c r="G54" s="594"/>
      <c r="H54" s="586" t="str">
        <f t="shared" si="5"/>
        <v/>
      </c>
      <c r="I54" s="585" t="str">
        <f t="shared" si="6"/>
        <v/>
      </c>
      <c r="J54" s="585" t="str">
        <f t="shared" si="7"/>
        <v/>
      </c>
      <c r="K54" s="586" t="str">
        <f t="shared" si="8"/>
        <v/>
      </c>
      <c r="L54" s="665"/>
      <c r="M54" s="658"/>
      <c r="N54" s="674">
        <v>0.6</v>
      </c>
      <c r="O54" s="587" t="str">
        <f t="shared" si="9"/>
        <v/>
      </c>
      <c r="P54" s="679"/>
    </row>
    <row r="55" spans="1:18">
      <c r="A55" s="1406"/>
      <c r="B55" s="1387"/>
      <c r="C55" s="590"/>
      <c r="D55" s="1380"/>
      <c r="E55" s="1382"/>
      <c r="F55" s="593"/>
      <c r="G55" s="594"/>
      <c r="H55" s="586" t="str">
        <f t="shared" si="5"/>
        <v/>
      </c>
      <c r="I55" s="585" t="str">
        <f t="shared" si="6"/>
        <v/>
      </c>
      <c r="J55" s="585" t="str">
        <f t="shared" si="7"/>
        <v/>
      </c>
      <c r="K55" s="586" t="str">
        <f t="shared" si="8"/>
        <v/>
      </c>
      <c r="L55" s="665"/>
      <c r="M55" s="658"/>
      <c r="N55" s="674">
        <v>0.6</v>
      </c>
      <c r="O55" s="587" t="str">
        <f t="shared" si="9"/>
        <v/>
      </c>
      <c r="P55" s="679"/>
    </row>
    <row r="56" spans="1:18">
      <c r="A56" s="1406"/>
      <c r="B56" s="1387"/>
      <c r="C56" s="590"/>
      <c r="D56" s="1380"/>
      <c r="E56" s="1382"/>
      <c r="F56" s="593"/>
      <c r="G56" s="594"/>
      <c r="H56" s="586" t="str">
        <f t="shared" si="5"/>
        <v/>
      </c>
      <c r="I56" s="585" t="str">
        <f t="shared" si="6"/>
        <v/>
      </c>
      <c r="J56" s="585" t="str">
        <f t="shared" si="7"/>
        <v/>
      </c>
      <c r="K56" s="586" t="str">
        <f t="shared" si="8"/>
        <v/>
      </c>
      <c r="L56" s="665"/>
      <c r="M56" s="658"/>
      <c r="N56" s="674">
        <v>0.6</v>
      </c>
      <c r="O56" s="587" t="str">
        <f t="shared" si="9"/>
        <v/>
      </c>
      <c r="P56" s="679"/>
    </row>
    <row r="57" spans="1:18">
      <c r="A57" s="1406"/>
      <c r="B57" s="1387"/>
      <c r="C57" s="590"/>
      <c r="D57" s="1380"/>
      <c r="E57" s="1382"/>
      <c r="F57" s="593"/>
      <c r="G57" s="594"/>
      <c r="H57" s="586" t="str">
        <f t="shared" si="5"/>
        <v/>
      </c>
      <c r="I57" s="585" t="str">
        <f t="shared" si="6"/>
        <v/>
      </c>
      <c r="J57" s="585" t="str">
        <f t="shared" si="7"/>
        <v/>
      </c>
      <c r="K57" s="586" t="str">
        <f t="shared" si="8"/>
        <v/>
      </c>
      <c r="L57" s="665"/>
      <c r="M57" s="658"/>
      <c r="N57" s="674">
        <v>0.6</v>
      </c>
      <c r="O57" s="587" t="str">
        <f t="shared" si="9"/>
        <v/>
      </c>
      <c r="P57" s="679"/>
    </row>
    <row r="58" spans="1:18">
      <c r="A58" s="1406"/>
      <c r="B58" s="1387"/>
      <c r="C58" s="590"/>
      <c r="D58" s="1380"/>
      <c r="E58" s="1382"/>
      <c r="F58" s="593"/>
      <c r="G58" s="594"/>
      <c r="H58" s="586" t="str">
        <f t="shared" si="5"/>
        <v/>
      </c>
      <c r="I58" s="585" t="str">
        <f t="shared" si="6"/>
        <v/>
      </c>
      <c r="J58" s="585" t="str">
        <f t="shared" si="7"/>
        <v/>
      </c>
      <c r="K58" s="586" t="str">
        <f t="shared" si="8"/>
        <v/>
      </c>
      <c r="L58" s="665"/>
      <c r="M58" s="658"/>
      <c r="N58" s="674">
        <v>0.6</v>
      </c>
      <c r="O58" s="587" t="str">
        <f t="shared" si="9"/>
        <v/>
      </c>
      <c r="P58" s="679"/>
    </row>
    <row r="59" spans="1:18">
      <c r="A59" s="1406"/>
      <c r="B59" s="1387"/>
      <c r="C59" s="590"/>
      <c r="D59" s="1380"/>
      <c r="E59" s="1381"/>
      <c r="F59" s="595"/>
      <c r="G59" s="596"/>
      <c r="H59" s="586" t="str">
        <f t="shared" si="5"/>
        <v/>
      </c>
      <c r="I59" s="585" t="str">
        <f t="shared" si="6"/>
        <v/>
      </c>
      <c r="J59" s="585" t="str">
        <f t="shared" si="7"/>
        <v/>
      </c>
      <c r="K59" s="586" t="str">
        <f t="shared" si="8"/>
        <v/>
      </c>
      <c r="L59" s="665"/>
      <c r="M59" s="658"/>
      <c r="N59" s="674">
        <v>0.6</v>
      </c>
      <c r="O59" s="587" t="str">
        <f t="shared" si="9"/>
        <v/>
      </c>
      <c r="P59" s="679"/>
    </row>
    <row r="60" spans="1:18">
      <c r="A60" s="1406"/>
      <c r="B60" s="1387"/>
      <c r="C60" s="590"/>
      <c r="D60" s="1380"/>
      <c r="E60" s="1381"/>
      <c r="F60" s="595"/>
      <c r="G60" s="596"/>
      <c r="H60" s="586" t="str">
        <f t="shared" si="5"/>
        <v/>
      </c>
      <c r="I60" s="585" t="str">
        <f t="shared" si="6"/>
        <v/>
      </c>
      <c r="J60" s="585" t="str">
        <f t="shared" si="7"/>
        <v/>
      </c>
      <c r="K60" s="586" t="str">
        <f t="shared" si="8"/>
        <v/>
      </c>
      <c r="L60" s="665"/>
      <c r="M60" s="658"/>
      <c r="N60" s="674">
        <v>0.6</v>
      </c>
      <c r="O60" s="587" t="str">
        <f t="shared" si="9"/>
        <v/>
      </c>
      <c r="P60" s="679"/>
    </row>
    <row r="61" spans="1:18">
      <c r="A61" s="1406"/>
      <c r="B61" s="1387"/>
      <c r="C61" s="589"/>
      <c r="D61" s="1380"/>
      <c r="E61" s="1381"/>
      <c r="F61" s="597"/>
      <c r="G61" s="598"/>
      <c r="H61" s="586" t="str">
        <f t="shared" si="5"/>
        <v/>
      </c>
      <c r="I61" s="585" t="str">
        <f t="shared" si="6"/>
        <v/>
      </c>
      <c r="J61" s="585" t="str">
        <f t="shared" si="7"/>
        <v/>
      </c>
      <c r="K61" s="586" t="str">
        <f t="shared" si="8"/>
        <v/>
      </c>
      <c r="L61" s="665"/>
      <c r="M61" s="658"/>
      <c r="N61" s="674">
        <v>0.6</v>
      </c>
      <c r="O61" s="587" t="str">
        <f t="shared" si="9"/>
        <v/>
      </c>
      <c r="P61" s="679"/>
    </row>
    <row r="62" spans="1:18">
      <c r="A62" s="1406"/>
      <c r="B62" s="1388"/>
      <c r="C62" s="1478" t="s">
        <v>157</v>
      </c>
      <c r="D62" s="1479"/>
      <c r="E62" s="1479"/>
      <c r="F62" s="1479"/>
      <c r="G62" s="1479"/>
      <c r="H62" s="1479"/>
      <c r="I62" s="1479"/>
      <c r="J62" s="1479"/>
      <c r="K62" s="1479"/>
      <c r="L62" s="1479"/>
      <c r="M62" s="1479"/>
      <c r="N62" s="1480"/>
      <c r="O62" s="1378">
        <f>SUM(O31:O61)</f>
        <v>4501</v>
      </c>
      <c r="P62" s="1379"/>
    </row>
    <row r="63" spans="1:18" ht="16.5" customHeight="1">
      <c r="A63" s="1405" t="s">
        <v>83</v>
      </c>
      <c r="B63" s="1393" t="s">
        <v>455</v>
      </c>
      <c r="C63" s="589"/>
      <c r="D63" s="1408" t="s">
        <v>435</v>
      </c>
      <c r="E63" s="1408"/>
      <c r="F63" s="591">
        <v>43831</v>
      </c>
      <c r="G63" s="592">
        <v>45291</v>
      </c>
      <c r="H63" s="586">
        <f>IF(D63="","",G63-F63+1)</f>
        <v>1461</v>
      </c>
      <c r="I63" s="585">
        <f>IF(D63="","",IF($O$3&gt;=F63,$O$3,F63))</f>
        <v>44196</v>
      </c>
      <c r="J63" s="585">
        <f>IF(D63="","",IF($P$3&gt;=G63,G63,$P$3))</f>
        <v>45291</v>
      </c>
      <c r="K63" s="586">
        <f>IF(D63="","",J63-I63+1)</f>
        <v>1096</v>
      </c>
      <c r="L63" s="666">
        <v>100000</v>
      </c>
      <c r="M63" s="659">
        <v>1</v>
      </c>
      <c r="N63" s="675">
        <v>1</v>
      </c>
      <c r="O63" s="587">
        <f>IF(D63="","",TRUNC((K63*(M63*N63)/H63)*L63,0))</f>
        <v>75017</v>
      </c>
      <c r="P63" s="874" t="s">
        <v>320</v>
      </c>
    </row>
    <row r="64" spans="1:18">
      <c r="A64" s="1406"/>
      <c r="B64" s="1386"/>
      <c r="C64" s="590"/>
      <c r="D64" s="1394"/>
      <c r="E64" s="1395"/>
      <c r="F64" s="599"/>
      <c r="G64" s="600"/>
      <c r="H64" s="586" t="str">
        <f t="shared" ref="H64:H82" si="10">IF(D64="","",G64-F64+1)</f>
        <v/>
      </c>
      <c r="I64" s="585" t="str">
        <f t="shared" ref="I64:I82" si="11">IF(D64="","",IF($O$3&gt;=F64,$O$3,F64))</f>
        <v/>
      </c>
      <c r="J64" s="585" t="str">
        <f t="shared" ref="J64:J82" si="12">IF(D64="","",IF($P$3&gt;=G64,G64,$P$3))</f>
        <v/>
      </c>
      <c r="K64" s="586" t="str">
        <f t="shared" ref="K64:K82" si="13">IF(D64="","",J64-I64+1)</f>
        <v/>
      </c>
      <c r="L64" s="666"/>
      <c r="M64" s="659"/>
      <c r="N64" s="675">
        <v>1</v>
      </c>
      <c r="O64" s="587" t="str">
        <f t="shared" ref="O64:O82" si="14">IF(D64="","",TRUNC((K64*(M64*N64)/H64)*L64,0))</f>
        <v/>
      </c>
      <c r="P64" s="874" t="s">
        <v>478</v>
      </c>
    </row>
    <row r="65" spans="1:16">
      <c r="A65" s="1406"/>
      <c r="B65" s="1386"/>
      <c r="C65" s="589"/>
      <c r="D65" s="1394"/>
      <c r="E65" s="1395"/>
      <c r="F65" s="599"/>
      <c r="G65" s="600"/>
      <c r="H65" s="586" t="str">
        <f t="shared" si="10"/>
        <v/>
      </c>
      <c r="I65" s="585" t="str">
        <f t="shared" si="11"/>
        <v/>
      </c>
      <c r="J65" s="585" t="str">
        <f t="shared" si="12"/>
        <v/>
      </c>
      <c r="K65" s="586" t="str">
        <f t="shared" si="13"/>
        <v/>
      </c>
      <c r="L65" s="666"/>
      <c r="M65" s="659"/>
      <c r="N65" s="675">
        <v>1</v>
      </c>
      <c r="O65" s="587" t="str">
        <f t="shared" si="14"/>
        <v/>
      </c>
      <c r="P65" s="874" t="s">
        <v>478</v>
      </c>
    </row>
    <row r="66" spans="1:16">
      <c r="A66" s="1406"/>
      <c r="B66" s="1386"/>
      <c r="C66" s="590"/>
      <c r="D66" s="1394"/>
      <c r="E66" s="1395"/>
      <c r="F66" s="599"/>
      <c r="G66" s="600"/>
      <c r="H66" s="586" t="str">
        <f t="shared" si="10"/>
        <v/>
      </c>
      <c r="I66" s="585" t="str">
        <f t="shared" si="11"/>
        <v/>
      </c>
      <c r="J66" s="585" t="str">
        <f t="shared" si="12"/>
        <v/>
      </c>
      <c r="K66" s="586" t="str">
        <f t="shared" si="13"/>
        <v/>
      </c>
      <c r="L66" s="666"/>
      <c r="M66" s="659"/>
      <c r="N66" s="675">
        <v>1</v>
      </c>
      <c r="O66" s="587" t="str">
        <f t="shared" si="14"/>
        <v/>
      </c>
      <c r="P66" s="874" t="s">
        <v>478</v>
      </c>
    </row>
    <row r="67" spans="1:16">
      <c r="A67" s="1406"/>
      <c r="B67" s="1386"/>
      <c r="C67" s="589"/>
      <c r="D67" s="1394"/>
      <c r="E67" s="1395"/>
      <c r="F67" s="599"/>
      <c r="G67" s="600"/>
      <c r="H67" s="586" t="str">
        <f t="shared" si="10"/>
        <v/>
      </c>
      <c r="I67" s="585" t="str">
        <f t="shared" si="11"/>
        <v/>
      </c>
      <c r="J67" s="585" t="str">
        <f t="shared" si="12"/>
        <v/>
      </c>
      <c r="K67" s="586" t="str">
        <f t="shared" si="13"/>
        <v/>
      </c>
      <c r="L67" s="666"/>
      <c r="M67" s="659"/>
      <c r="N67" s="675">
        <v>1</v>
      </c>
      <c r="O67" s="587" t="str">
        <f t="shared" si="14"/>
        <v/>
      </c>
      <c r="P67" s="874" t="s">
        <v>478</v>
      </c>
    </row>
    <row r="68" spans="1:16">
      <c r="A68" s="1406"/>
      <c r="B68" s="1386"/>
      <c r="C68" s="590"/>
      <c r="D68" s="1394"/>
      <c r="E68" s="1395"/>
      <c r="F68" s="599"/>
      <c r="G68" s="600"/>
      <c r="H68" s="586" t="str">
        <f t="shared" si="10"/>
        <v/>
      </c>
      <c r="I68" s="585" t="str">
        <f t="shared" si="11"/>
        <v/>
      </c>
      <c r="J68" s="585" t="str">
        <f t="shared" si="12"/>
        <v/>
      </c>
      <c r="K68" s="586" t="str">
        <f t="shared" si="13"/>
        <v/>
      </c>
      <c r="L68" s="666"/>
      <c r="M68" s="659"/>
      <c r="N68" s="675">
        <v>1</v>
      </c>
      <c r="O68" s="587" t="str">
        <f t="shared" si="14"/>
        <v/>
      </c>
      <c r="P68" s="874" t="s">
        <v>478</v>
      </c>
    </row>
    <row r="69" spans="1:16">
      <c r="A69" s="1406"/>
      <c r="B69" s="1386"/>
      <c r="C69" s="589"/>
      <c r="D69" s="1394"/>
      <c r="E69" s="1395"/>
      <c r="F69" s="599"/>
      <c r="G69" s="600"/>
      <c r="H69" s="586" t="str">
        <f t="shared" si="10"/>
        <v/>
      </c>
      <c r="I69" s="585" t="str">
        <f t="shared" si="11"/>
        <v/>
      </c>
      <c r="J69" s="585" t="str">
        <f t="shared" si="12"/>
        <v/>
      </c>
      <c r="K69" s="586" t="str">
        <f t="shared" si="13"/>
        <v/>
      </c>
      <c r="L69" s="666"/>
      <c r="M69" s="659"/>
      <c r="N69" s="675">
        <v>1</v>
      </c>
      <c r="O69" s="587" t="str">
        <f t="shared" si="14"/>
        <v/>
      </c>
      <c r="P69" s="874" t="s">
        <v>478</v>
      </c>
    </row>
    <row r="70" spans="1:16">
      <c r="A70" s="1406"/>
      <c r="B70" s="1386"/>
      <c r="C70" s="590"/>
      <c r="D70" s="1394"/>
      <c r="E70" s="1395"/>
      <c r="F70" s="599"/>
      <c r="G70" s="600"/>
      <c r="H70" s="586" t="str">
        <f t="shared" si="10"/>
        <v/>
      </c>
      <c r="I70" s="585" t="str">
        <f t="shared" si="11"/>
        <v/>
      </c>
      <c r="J70" s="585" t="str">
        <f t="shared" si="12"/>
        <v/>
      </c>
      <c r="K70" s="586" t="str">
        <f t="shared" si="13"/>
        <v/>
      </c>
      <c r="L70" s="666"/>
      <c r="M70" s="659"/>
      <c r="N70" s="675">
        <v>1</v>
      </c>
      <c r="O70" s="587" t="str">
        <f t="shared" si="14"/>
        <v/>
      </c>
      <c r="P70" s="874" t="s">
        <v>478</v>
      </c>
    </row>
    <row r="71" spans="1:16">
      <c r="A71" s="1406"/>
      <c r="B71" s="1386"/>
      <c r="C71" s="589"/>
      <c r="D71" s="1394"/>
      <c r="E71" s="1395"/>
      <c r="F71" s="599"/>
      <c r="G71" s="600"/>
      <c r="H71" s="586" t="str">
        <f t="shared" si="10"/>
        <v/>
      </c>
      <c r="I71" s="585" t="str">
        <f t="shared" si="11"/>
        <v/>
      </c>
      <c r="J71" s="585" t="str">
        <f t="shared" si="12"/>
        <v/>
      </c>
      <c r="K71" s="586" t="str">
        <f t="shared" si="13"/>
        <v/>
      </c>
      <c r="L71" s="666"/>
      <c r="M71" s="659"/>
      <c r="N71" s="675">
        <v>1</v>
      </c>
      <c r="O71" s="587" t="str">
        <f t="shared" si="14"/>
        <v/>
      </c>
      <c r="P71" s="874" t="s">
        <v>478</v>
      </c>
    </row>
    <row r="72" spans="1:16">
      <c r="A72" s="1406"/>
      <c r="B72" s="1386"/>
      <c r="C72" s="590"/>
      <c r="D72" s="1394"/>
      <c r="E72" s="1395"/>
      <c r="F72" s="599"/>
      <c r="G72" s="600"/>
      <c r="H72" s="586" t="str">
        <f t="shared" si="10"/>
        <v/>
      </c>
      <c r="I72" s="585" t="str">
        <f t="shared" si="11"/>
        <v/>
      </c>
      <c r="J72" s="585" t="str">
        <f t="shared" si="12"/>
        <v/>
      </c>
      <c r="K72" s="586" t="str">
        <f t="shared" si="13"/>
        <v/>
      </c>
      <c r="L72" s="666"/>
      <c r="M72" s="659"/>
      <c r="N72" s="675">
        <v>1</v>
      </c>
      <c r="O72" s="587" t="str">
        <f t="shared" si="14"/>
        <v/>
      </c>
      <c r="P72" s="874" t="s">
        <v>478</v>
      </c>
    </row>
    <row r="73" spans="1:16">
      <c r="A73" s="1406"/>
      <c r="B73" s="1387" t="str">
        <f>작성요령!M14</f>
        <v>주거시설(21)에 대한 공사감리</v>
      </c>
      <c r="C73" s="589"/>
      <c r="D73" s="1394"/>
      <c r="E73" s="1395"/>
      <c r="F73" s="599"/>
      <c r="G73" s="600"/>
      <c r="H73" s="586" t="str">
        <f t="shared" si="10"/>
        <v/>
      </c>
      <c r="I73" s="585" t="str">
        <f t="shared" si="11"/>
        <v/>
      </c>
      <c r="J73" s="585" t="str">
        <f t="shared" si="12"/>
        <v/>
      </c>
      <c r="K73" s="586" t="str">
        <f t="shared" si="13"/>
        <v/>
      </c>
      <c r="L73" s="666"/>
      <c r="M73" s="659"/>
      <c r="N73" s="675">
        <v>1</v>
      </c>
      <c r="O73" s="587" t="str">
        <f t="shared" si="14"/>
        <v/>
      </c>
      <c r="P73" s="874" t="s">
        <v>478</v>
      </c>
    </row>
    <row r="74" spans="1:16">
      <c r="A74" s="1406"/>
      <c r="B74" s="1387"/>
      <c r="C74" s="590"/>
      <c r="D74" s="1394"/>
      <c r="E74" s="1395"/>
      <c r="F74" s="599"/>
      <c r="G74" s="600"/>
      <c r="H74" s="586" t="str">
        <f t="shared" si="10"/>
        <v/>
      </c>
      <c r="I74" s="585" t="str">
        <f t="shared" si="11"/>
        <v/>
      </c>
      <c r="J74" s="585" t="str">
        <f t="shared" si="12"/>
        <v/>
      </c>
      <c r="K74" s="586" t="str">
        <f t="shared" si="13"/>
        <v/>
      </c>
      <c r="L74" s="666"/>
      <c r="M74" s="659"/>
      <c r="N74" s="675">
        <v>1</v>
      </c>
      <c r="O74" s="587" t="str">
        <f t="shared" si="14"/>
        <v/>
      </c>
      <c r="P74" s="874" t="s">
        <v>478</v>
      </c>
    </row>
    <row r="75" spans="1:16">
      <c r="A75" s="1406"/>
      <c r="B75" s="1387"/>
      <c r="C75" s="589"/>
      <c r="D75" s="1394"/>
      <c r="E75" s="1395"/>
      <c r="F75" s="599"/>
      <c r="G75" s="600"/>
      <c r="H75" s="586" t="str">
        <f t="shared" si="10"/>
        <v/>
      </c>
      <c r="I75" s="585" t="str">
        <f t="shared" si="11"/>
        <v/>
      </c>
      <c r="J75" s="585" t="str">
        <f t="shared" si="12"/>
        <v/>
      </c>
      <c r="K75" s="586" t="str">
        <f t="shared" si="13"/>
        <v/>
      </c>
      <c r="L75" s="666"/>
      <c r="M75" s="659"/>
      <c r="N75" s="675">
        <v>1</v>
      </c>
      <c r="O75" s="587" t="str">
        <f t="shared" si="14"/>
        <v/>
      </c>
      <c r="P75" s="874" t="s">
        <v>478</v>
      </c>
    </row>
    <row r="76" spans="1:16">
      <c r="A76" s="1406"/>
      <c r="B76" s="1387"/>
      <c r="C76" s="590"/>
      <c r="D76" s="1394"/>
      <c r="E76" s="1395"/>
      <c r="F76" s="599"/>
      <c r="G76" s="600"/>
      <c r="H76" s="586" t="str">
        <f t="shared" si="10"/>
        <v/>
      </c>
      <c r="I76" s="585" t="str">
        <f t="shared" si="11"/>
        <v/>
      </c>
      <c r="J76" s="585" t="str">
        <f t="shared" si="12"/>
        <v/>
      </c>
      <c r="K76" s="586" t="str">
        <f t="shared" si="13"/>
        <v/>
      </c>
      <c r="L76" s="666"/>
      <c r="M76" s="659"/>
      <c r="N76" s="675">
        <v>1</v>
      </c>
      <c r="O76" s="587" t="str">
        <f t="shared" si="14"/>
        <v/>
      </c>
      <c r="P76" s="874" t="s">
        <v>478</v>
      </c>
    </row>
    <row r="77" spans="1:16">
      <c r="A77" s="1406"/>
      <c r="B77" s="1387"/>
      <c r="C77" s="589"/>
      <c r="D77" s="1394"/>
      <c r="E77" s="1395"/>
      <c r="F77" s="599"/>
      <c r="G77" s="600"/>
      <c r="H77" s="586" t="str">
        <f t="shared" si="10"/>
        <v/>
      </c>
      <c r="I77" s="585" t="str">
        <f t="shared" si="11"/>
        <v/>
      </c>
      <c r="J77" s="585" t="str">
        <f t="shared" si="12"/>
        <v/>
      </c>
      <c r="K77" s="586" t="str">
        <f t="shared" si="13"/>
        <v/>
      </c>
      <c r="L77" s="666"/>
      <c r="M77" s="659"/>
      <c r="N77" s="675">
        <v>1</v>
      </c>
      <c r="O77" s="587" t="str">
        <f t="shared" si="14"/>
        <v/>
      </c>
      <c r="P77" s="874" t="s">
        <v>478</v>
      </c>
    </row>
    <row r="78" spans="1:16">
      <c r="A78" s="1406"/>
      <c r="B78" s="1387"/>
      <c r="C78" s="590"/>
      <c r="D78" s="1394"/>
      <c r="E78" s="1395"/>
      <c r="F78" s="599"/>
      <c r="G78" s="600"/>
      <c r="H78" s="586" t="str">
        <f t="shared" si="10"/>
        <v/>
      </c>
      <c r="I78" s="585" t="str">
        <f t="shared" si="11"/>
        <v/>
      </c>
      <c r="J78" s="585" t="str">
        <f t="shared" si="12"/>
        <v/>
      </c>
      <c r="K78" s="586" t="str">
        <f t="shared" si="13"/>
        <v/>
      </c>
      <c r="L78" s="666"/>
      <c r="M78" s="659"/>
      <c r="N78" s="675">
        <v>1</v>
      </c>
      <c r="O78" s="587" t="str">
        <f t="shared" si="14"/>
        <v/>
      </c>
      <c r="P78" s="874" t="s">
        <v>478</v>
      </c>
    </row>
    <row r="79" spans="1:16">
      <c r="A79" s="1406"/>
      <c r="B79" s="1387"/>
      <c r="C79" s="589"/>
      <c r="D79" s="1394"/>
      <c r="E79" s="1395"/>
      <c r="F79" s="599"/>
      <c r="G79" s="600"/>
      <c r="H79" s="586" t="str">
        <f t="shared" si="10"/>
        <v/>
      </c>
      <c r="I79" s="585" t="str">
        <f t="shared" si="11"/>
        <v/>
      </c>
      <c r="J79" s="585" t="str">
        <f t="shared" si="12"/>
        <v/>
      </c>
      <c r="K79" s="586" t="str">
        <f t="shared" si="13"/>
        <v/>
      </c>
      <c r="L79" s="666"/>
      <c r="M79" s="659"/>
      <c r="N79" s="675">
        <v>1</v>
      </c>
      <c r="O79" s="587" t="str">
        <f t="shared" si="14"/>
        <v/>
      </c>
      <c r="P79" s="874" t="s">
        <v>478</v>
      </c>
    </row>
    <row r="80" spans="1:16">
      <c r="A80" s="1406"/>
      <c r="B80" s="1387"/>
      <c r="C80" s="590"/>
      <c r="D80" s="1394"/>
      <c r="E80" s="1395"/>
      <c r="F80" s="599"/>
      <c r="G80" s="600"/>
      <c r="H80" s="586" t="str">
        <f t="shared" si="10"/>
        <v/>
      </c>
      <c r="I80" s="585" t="str">
        <f t="shared" si="11"/>
        <v/>
      </c>
      <c r="J80" s="585" t="str">
        <f t="shared" si="12"/>
        <v/>
      </c>
      <c r="K80" s="586" t="str">
        <f t="shared" si="13"/>
        <v/>
      </c>
      <c r="L80" s="666"/>
      <c r="M80" s="659"/>
      <c r="N80" s="675">
        <v>1</v>
      </c>
      <c r="O80" s="587" t="str">
        <f t="shared" si="14"/>
        <v/>
      </c>
      <c r="P80" s="874" t="s">
        <v>478</v>
      </c>
    </row>
    <row r="81" spans="1:16">
      <c r="A81" s="1406"/>
      <c r="B81" s="1387"/>
      <c r="C81" s="589"/>
      <c r="D81" s="1394"/>
      <c r="E81" s="1395"/>
      <c r="F81" s="599"/>
      <c r="G81" s="600"/>
      <c r="H81" s="586" t="str">
        <f t="shared" si="10"/>
        <v/>
      </c>
      <c r="I81" s="585" t="str">
        <f t="shared" si="11"/>
        <v/>
      </c>
      <c r="J81" s="585" t="str">
        <f t="shared" si="12"/>
        <v/>
      </c>
      <c r="K81" s="586" t="str">
        <f t="shared" si="13"/>
        <v/>
      </c>
      <c r="L81" s="666"/>
      <c r="M81" s="660"/>
      <c r="N81" s="676">
        <v>1</v>
      </c>
      <c r="O81" s="587" t="str">
        <f t="shared" si="14"/>
        <v/>
      </c>
      <c r="P81" s="874" t="s">
        <v>478</v>
      </c>
    </row>
    <row r="82" spans="1:16">
      <c r="A82" s="1406"/>
      <c r="B82" s="1387"/>
      <c r="C82" s="590"/>
      <c r="D82" s="1394"/>
      <c r="E82" s="1395"/>
      <c r="F82" s="599"/>
      <c r="G82" s="600"/>
      <c r="H82" s="586" t="str">
        <f t="shared" si="10"/>
        <v/>
      </c>
      <c r="I82" s="585" t="str">
        <f t="shared" si="11"/>
        <v/>
      </c>
      <c r="J82" s="585" t="str">
        <f t="shared" si="12"/>
        <v/>
      </c>
      <c r="K82" s="586" t="str">
        <f t="shared" si="13"/>
        <v/>
      </c>
      <c r="L82" s="666"/>
      <c r="M82" s="661"/>
      <c r="N82" s="677">
        <v>1</v>
      </c>
      <c r="O82" s="587" t="str">
        <f t="shared" si="14"/>
        <v/>
      </c>
      <c r="P82" s="874" t="s">
        <v>478</v>
      </c>
    </row>
    <row r="83" spans="1:16">
      <c r="A83" s="1406"/>
      <c r="B83" s="1388"/>
      <c r="C83" s="1478" t="s">
        <v>157</v>
      </c>
      <c r="D83" s="1479"/>
      <c r="E83" s="1479"/>
      <c r="F83" s="1479"/>
      <c r="G83" s="1479"/>
      <c r="H83" s="1479"/>
      <c r="I83" s="1479"/>
      <c r="J83" s="1479"/>
      <c r="K83" s="1479"/>
      <c r="L83" s="1479"/>
      <c r="M83" s="1479"/>
      <c r="N83" s="1480"/>
      <c r="O83" s="1378">
        <f>SUM(O63:O82)</f>
        <v>75017</v>
      </c>
      <c r="P83" s="1379"/>
    </row>
    <row r="84" spans="1:16">
      <c r="A84" s="1406"/>
      <c r="B84" s="1385" t="s">
        <v>459</v>
      </c>
      <c r="C84" s="590"/>
      <c r="D84" s="1403" t="s">
        <v>435</v>
      </c>
      <c r="E84" s="1404"/>
      <c r="F84" s="591">
        <v>43831</v>
      </c>
      <c r="G84" s="592">
        <v>45291</v>
      </c>
      <c r="H84" s="586">
        <f>IF(D84="","",G84-F84+1)</f>
        <v>1461</v>
      </c>
      <c r="I84" s="585">
        <f>IF(D84="","",IF($O$3&gt;=F84,$O$3,F84))</f>
        <v>44196</v>
      </c>
      <c r="J84" s="585">
        <f>IF(D84="","",IF($P$3&gt;=G84,G84,$P$3))</f>
        <v>45291</v>
      </c>
      <c r="K84" s="586">
        <f>IF(D84="","",J84-I84+1)</f>
        <v>1096</v>
      </c>
      <c r="L84" s="666">
        <v>100000</v>
      </c>
      <c r="M84" s="658">
        <v>1</v>
      </c>
      <c r="N84" s="677">
        <v>0.6</v>
      </c>
      <c r="O84" s="587">
        <f>IF(D84="","",TRUNC((K84*(M84*N84)/H84)*L84,0))</f>
        <v>45010</v>
      </c>
      <c r="P84" s="680"/>
    </row>
    <row r="85" spans="1:16">
      <c r="A85" s="1406"/>
      <c r="B85" s="1386"/>
      <c r="C85" s="590"/>
      <c r="D85" s="1394"/>
      <c r="E85" s="1409"/>
      <c r="F85" s="593"/>
      <c r="G85" s="594"/>
      <c r="H85" s="586" t="str">
        <f t="shared" ref="H85:H103" si="15">IF(D85="","",G85-F85+1)</f>
        <v/>
      </c>
      <c r="I85" s="585" t="str">
        <f t="shared" ref="I85:I103" si="16">IF(D85="","",IF($O$3&gt;=F85,$O$3,F85))</f>
        <v/>
      </c>
      <c r="J85" s="585" t="str">
        <f t="shared" ref="J85:J103" si="17">IF(D85="","",IF($P$3&gt;=G85,G85,$P$3))</f>
        <v/>
      </c>
      <c r="K85" s="586" t="str">
        <f t="shared" ref="K85:K103" si="18">IF(D85="","",J85-I85+1)</f>
        <v/>
      </c>
      <c r="L85" s="666"/>
      <c r="M85" s="658"/>
      <c r="N85" s="677">
        <v>0.6</v>
      </c>
      <c r="O85" s="587" t="str">
        <f t="shared" ref="O85:O103" si="19">IF(D85="","",TRUNC((K85*(M85*N85)/H85)*L85,0))</f>
        <v/>
      </c>
      <c r="P85" s="680"/>
    </row>
    <row r="86" spans="1:16">
      <c r="A86" s="1406"/>
      <c r="B86" s="1386"/>
      <c r="C86" s="590"/>
      <c r="D86" s="1394"/>
      <c r="E86" s="1409"/>
      <c r="F86" s="593"/>
      <c r="G86" s="594"/>
      <c r="H86" s="586" t="str">
        <f t="shared" si="15"/>
        <v/>
      </c>
      <c r="I86" s="585" t="str">
        <f t="shared" si="16"/>
        <v/>
      </c>
      <c r="J86" s="585" t="str">
        <f t="shared" si="17"/>
        <v/>
      </c>
      <c r="K86" s="586" t="str">
        <f t="shared" si="18"/>
        <v/>
      </c>
      <c r="L86" s="666"/>
      <c r="M86" s="658"/>
      <c r="N86" s="677">
        <v>0.6</v>
      </c>
      <c r="O86" s="587" t="str">
        <f t="shared" si="19"/>
        <v/>
      </c>
      <c r="P86" s="680"/>
    </row>
    <row r="87" spans="1:16">
      <c r="A87" s="1406"/>
      <c r="B87" s="1386"/>
      <c r="C87" s="590"/>
      <c r="D87" s="1394"/>
      <c r="E87" s="1409"/>
      <c r="F87" s="593"/>
      <c r="G87" s="594"/>
      <c r="H87" s="586" t="str">
        <f t="shared" si="15"/>
        <v/>
      </c>
      <c r="I87" s="585" t="str">
        <f t="shared" si="16"/>
        <v/>
      </c>
      <c r="J87" s="585" t="str">
        <f t="shared" si="17"/>
        <v/>
      </c>
      <c r="K87" s="586" t="str">
        <f t="shared" si="18"/>
        <v/>
      </c>
      <c r="L87" s="666"/>
      <c r="M87" s="658"/>
      <c r="N87" s="677">
        <v>0.6</v>
      </c>
      <c r="O87" s="587" t="str">
        <f t="shared" si="19"/>
        <v/>
      </c>
      <c r="P87" s="680"/>
    </row>
    <row r="88" spans="1:16">
      <c r="A88" s="1406"/>
      <c r="B88" s="1386"/>
      <c r="C88" s="590"/>
      <c r="D88" s="1394"/>
      <c r="E88" s="1409"/>
      <c r="F88" s="593"/>
      <c r="G88" s="594"/>
      <c r="H88" s="586" t="str">
        <f t="shared" si="15"/>
        <v/>
      </c>
      <c r="I88" s="585" t="str">
        <f t="shared" si="16"/>
        <v/>
      </c>
      <c r="J88" s="585" t="str">
        <f t="shared" si="17"/>
        <v/>
      </c>
      <c r="K88" s="586" t="str">
        <f t="shared" si="18"/>
        <v/>
      </c>
      <c r="L88" s="666"/>
      <c r="M88" s="658"/>
      <c r="N88" s="677">
        <v>0.6</v>
      </c>
      <c r="O88" s="587" t="str">
        <f t="shared" si="19"/>
        <v/>
      </c>
      <c r="P88" s="680"/>
    </row>
    <row r="89" spans="1:16">
      <c r="A89" s="1406"/>
      <c r="B89" s="1386"/>
      <c r="C89" s="590"/>
      <c r="D89" s="1394"/>
      <c r="E89" s="1409"/>
      <c r="F89" s="593"/>
      <c r="G89" s="594"/>
      <c r="H89" s="586" t="str">
        <f t="shared" si="15"/>
        <v/>
      </c>
      <c r="I89" s="585" t="str">
        <f t="shared" si="16"/>
        <v/>
      </c>
      <c r="J89" s="585" t="str">
        <f t="shared" si="17"/>
        <v/>
      </c>
      <c r="K89" s="586" t="str">
        <f t="shared" si="18"/>
        <v/>
      </c>
      <c r="L89" s="666"/>
      <c r="M89" s="658"/>
      <c r="N89" s="677">
        <v>0.6</v>
      </c>
      <c r="O89" s="587" t="str">
        <f t="shared" si="19"/>
        <v/>
      </c>
      <c r="P89" s="680"/>
    </row>
    <row r="90" spans="1:16">
      <c r="A90" s="1406"/>
      <c r="B90" s="1386"/>
      <c r="C90" s="590"/>
      <c r="D90" s="1394"/>
      <c r="E90" s="1409"/>
      <c r="F90" s="593"/>
      <c r="G90" s="594"/>
      <c r="H90" s="586" t="str">
        <f t="shared" si="15"/>
        <v/>
      </c>
      <c r="I90" s="585" t="str">
        <f t="shared" si="16"/>
        <v/>
      </c>
      <c r="J90" s="585" t="str">
        <f t="shared" si="17"/>
        <v/>
      </c>
      <c r="K90" s="586" t="str">
        <f t="shared" si="18"/>
        <v/>
      </c>
      <c r="L90" s="666"/>
      <c r="M90" s="658"/>
      <c r="N90" s="677">
        <v>0.6</v>
      </c>
      <c r="O90" s="587" t="str">
        <f t="shared" si="19"/>
        <v/>
      </c>
      <c r="P90" s="680"/>
    </row>
    <row r="91" spans="1:16">
      <c r="A91" s="1406"/>
      <c r="B91" s="1386"/>
      <c r="C91" s="590"/>
      <c r="D91" s="1394"/>
      <c r="E91" s="1409"/>
      <c r="F91" s="593"/>
      <c r="G91" s="594"/>
      <c r="H91" s="586" t="str">
        <f t="shared" si="15"/>
        <v/>
      </c>
      <c r="I91" s="585" t="str">
        <f t="shared" si="16"/>
        <v/>
      </c>
      <c r="J91" s="585" t="str">
        <f t="shared" si="17"/>
        <v/>
      </c>
      <c r="K91" s="586" t="str">
        <f t="shared" si="18"/>
        <v/>
      </c>
      <c r="L91" s="666"/>
      <c r="M91" s="658"/>
      <c r="N91" s="677">
        <v>0.6</v>
      </c>
      <c r="O91" s="587" t="str">
        <f t="shared" si="19"/>
        <v/>
      </c>
      <c r="P91" s="680"/>
    </row>
    <row r="92" spans="1:16">
      <c r="A92" s="1406"/>
      <c r="B92" s="1386"/>
      <c r="C92" s="590"/>
      <c r="D92" s="1394"/>
      <c r="E92" s="1409"/>
      <c r="F92" s="593"/>
      <c r="G92" s="594"/>
      <c r="H92" s="586" t="str">
        <f t="shared" si="15"/>
        <v/>
      </c>
      <c r="I92" s="585" t="str">
        <f t="shared" si="16"/>
        <v/>
      </c>
      <c r="J92" s="585" t="str">
        <f t="shared" si="17"/>
        <v/>
      </c>
      <c r="K92" s="586" t="str">
        <f t="shared" si="18"/>
        <v/>
      </c>
      <c r="L92" s="666"/>
      <c r="M92" s="658"/>
      <c r="N92" s="677">
        <v>0.6</v>
      </c>
      <c r="O92" s="587" t="str">
        <f t="shared" si="19"/>
        <v/>
      </c>
      <c r="P92" s="680"/>
    </row>
    <row r="93" spans="1:16">
      <c r="A93" s="1406"/>
      <c r="B93" s="1386"/>
      <c r="C93" s="590"/>
      <c r="D93" s="1394"/>
      <c r="E93" s="1409"/>
      <c r="F93" s="593"/>
      <c r="G93" s="594"/>
      <c r="H93" s="586" t="str">
        <f t="shared" si="15"/>
        <v/>
      </c>
      <c r="I93" s="585" t="str">
        <f t="shared" si="16"/>
        <v/>
      </c>
      <c r="J93" s="585" t="str">
        <f t="shared" si="17"/>
        <v/>
      </c>
      <c r="K93" s="586" t="str">
        <f t="shared" si="18"/>
        <v/>
      </c>
      <c r="L93" s="666"/>
      <c r="M93" s="658"/>
      <c r="N93" s="677">
        <v>0.6</v>
      </c>
      <c r="O93" s="587" t="str">
        <f t="shared" si="19"/>
        <v/>
      </c>
      <c r="P93" s="680"/>
    </row>
    <row r="94" spans="1:16">
      <c r="A94" s="1406"/>
      <c r="B94" s="1387" t="str">
        <f>작성요령!M15</f>
        <v>주거시설(21)외의 시설(20,22~29)에 대한 공사감리</v>
      </c>
      <c r="C94" s="590"/>
      <c r="D94" s="1394"/>
      <c r="E94" s="1409"/>
      <c r="F94" s="593"/>
      <c r="G94" s="594"/>
      <c r="H94" s="586" t="str">
        <f t="shared" si="15"/>
        <v/>
      </c>
      <c r="I94" s="585" t="str">
        <f t="shared" si="16"/>
        <v/>
      </c>
      <c r="J94" s="585" t="str">
        <f t="shared" si="17"/>
        <v/>
      </c>
      <c r="K94" s="586" t="str">
        <f t="shared" si="18"/>
        <v/>
      </c>
      <c r="L94" s="666"/>
      <c r="M94" s="658"/>
      <c r="N94" s="677">
        <v>0.6</v>
      </c>
      <c r="O94" s="587" t="str">
        <f t="shared" si="19"/>
        <v/>
      </c>
      <c r="P94" s="680"/>
    </row>
    <row r="95" spans="1:16">
      <c r="A95" s="1406"/>
      <c r="B95" s="1387"/>
      <c r="C95" s="590"/>
      <c r="D95" s="1394"/>
      <c r="E95" s="1409"/>
      <c r="F95" s="593"/>
      <c r="G95" s="594"/>
      <c r="H95" s="586" t="str">
        <f t="shared" si="15"/>
        <v/>
      </c>
      <c r="I95" s="585" t="str">
        <f t="shared" si="16"/>
        <v/>
      </c>
      <c r="J95" s="585" t="str">
        <f t="shared" si="17"/>
        <v/>
      </c>
      <c r="K95" s="586" t="str">
        <f t="shared" si="18"/>
        <v/>
      </c>
      <c r="L95" s="666"/>
      <c r="M95" s="658"/>
      <c r="N95" s="677">
        <v>0.6</v>
      </c>
      <c r="O95" s="587" t="str">
        <f t="shared" si="19"/>
        <v/>
      </c>
      <c r="P95" s="680"/>
    </row>
    <row r="96" spans="1:16">
      <c r="A96" s="1406"/>
      <c r="B96" s="1387"/>
      <c r="C96" s="590"/>
      <c r="D96" s="1394"/>
      <c r="E96" s="1409"/>
      <c r="F96" s="593"/>
      <c r="G96" s="594"/>
      <c r="H96" s="586" t="str">
        <f t="shared" si="15"/>
        <v/>
      </c>
      <c r="I96" s="585" t="str">
        <f t="shared" si="16"/>
        <v/>
      </c>
      <c r="J96" s="585" t="str">
        <f t="shared" si="17"/>
        <v/>
      </c>
      <c r="K96" s="586" t="str">
        <f t="shared" si="18"/>
        <v/>
      </c>
      <c r="L96" s="666"/>
      <c r="M96" s="658"/>
      <c r="N96" s="677">
        <v>0.6</v>
      </c>
      <c r="O96" s="587" t="str">
        <f t="shared" si="19"/>
        <v/>
      </c>
      <c r="P96" s="680"/>
    </row>
    <row r="97" spans="1:17">
      <c r="A97" s="1406"/>
      <c r="B97" s="1387"/>
      <c r="C97" s="590"/>
      <c r="D97" s="1394"/>
      <c r="E97" s="1409"/>
      <c r="F97" s="593"/>
      <c r="G97" s="594"/>
      <c r="H97" s="586" t="str">
        <f t="shared" si="15"/>
        <v/>
      </c>
      <c r="I97" s="585" t="str">
        <f t="shared" si="16"/>
        <v/>
      </c>
      <c r="J97" s="585" t="str">
        <f t="shared" si="17"/>
        <v/>
      </c>
      <c r="K97" s="586" t="str">
        <f t="shared" si="18"/>
        <v/>
      </c>
      <c r="L97" s="666"/>
      <c r="M97" s="658"/>
      <c r="N97" s="677">
        <v>0.6</v>
      </c>
      <c r="O97" s="587" t="str">
        <f t="shared" si="19"/>
        <v/>
      </c>
      <c r="P97" s="680"/>
    </row>
    <row r="98" spans="1:17">
      <c r="A98" s="1406"/>
      <c r="B98" s="1387"/>
      <c r="C98" s="590"/>
      <c r="D98" s="1394"/>
      <c r="E98" s="1409"/>
      <c r="F98" s="593"/>
      <c r="G98" s="594"/>
      <c r="H98" s="586" t="str">
        <f t="shared" si="15"/>
        <v/>
      </c>
      <c r="I98" s="585" t="str">
        <f t="shared" si="16"/>
        <v/>
      </c>
      <c r="J98" s="585" t="str">
        <f t="shared" si="17"/>
        <v/>
      </c>
      <c r="K98" s="586" t="str">
        <f t="shared" si="18"/>
        <v/>
      </c>
      <c r="L98" s="666"/>
      <c r="M98" s="658"/>
      <c r="N98" s="677">
        <v>0.6</v>
      </c>
      <c r="O98" s="587" t="str">
        <f t="shared" si="19"/>
        <v/>
      </c>
      <c r="P98" s="680"/>
    </row>
    <row r="99" spans="1:17">
      <c r="A99" s="1406"/>
      <c r="B99" s="1387"/>
      <c r="C99" s="590"/>
      <c r="D99" s="1394"/>
      <c r="E99" s="1409"/>
      <c r="F99" s="593"/>
      <c r="G99" s="594"/>
      <c r="H99" s="586" t="str">
        <f t="shared" si="15"/>
        <v/>
      </c>
      <c r="I99" s="585" t="str">
        <f t="shared" si="16"/>
        <v/>
      </c>
      <c r="J99" s="585" t="str">
        <f t="shared" si="17"/>
        <v/>
      </c>
      <c r="K99" s="586" t="str">
        <f t="shared" si="18"/>
        <v/>
      </c>
      <c r="L99" s="666"/>
      <c r="M99" s="658"/>
      <c r="N99" s="677">
        <v>0.6</v>
      </c>
      <c r="O99" s="587" t="str">
        <f t="shared" si="19"/>
        <v/>
      </c>
      <c r="P99" s="680"/>
    </row>
    <row r="100" spans="1:17">
      <c r="A100" s="1406"/>
      <c r="B100" s="1387"/>
      <c r="C100" s="590"/>
      <c r="D100" s="1394"/>
      <c r="E100" s="1409"/>
      <c r="F100" s="593"/>
      <c r="G100" s="594"/>
      <c r="H100" s="586" t="str">
        <f t="shared" si="15"/>
        <v/>
      </c>
      <c r="I100" s="585" t="str">
        <f t="shared" si="16"/>
        <v/>
      </c>
      <c r="J100" s="585" t="str">
        <f t="shared" si="17"/>
        <v/>
      </c>
      <c r="K100" s="586" t="str">
        <f t="shared" si="18"/>
        <v/>
      </c>
      <c r="L100" s="666"/>
      <c r="M100" s="658"/>
      <c r="N100" s="677">
        <v>0.6</v>
      </c>
      <c r="O100" s="587" t="str">
        <f t="shared" si="19"/>
        <v/>
      </c>
      <c r="P100" s="680"/>
    </row>
    <row r="101" spans="1:17">
      <c r="A101" s="1406"/>
      <c r="B101" s="1387"/>
      <c r="C101" s="590"/>
      <c r="D101" s="1394"/>
      <c r="E101" s="1409"/>
      <c r="F101" s="593"/>
      <c r="G101" s="594"/>
      <c r="H101" s="586" t="str">
        <f t="shared" si="15"/>
        <v/>
      </c>
      <c r="I101" s="585" t="str">
        <f t="shared" si="16"/>
        <v/>
      </c>
      <c r="J101" s="585" t="str">
        <f t="shared" si="17"/>
        <v/>
      </c>
      <c r="K101" s="586" t="str">
        <f t="shared" si="18"/>
        <v/>
      </c>
      <c r="L101" s="666"/>
      <c r="M101" s="658"/>
      <c r="N101" s="677">
        <v>0.6</v>
      </c>
      <c r="O101" s="587" t="str">
        <f t="shared" si="19"/>
        <v/>
      </c>
      <c r="P101" s="680"/>
    </row>
    <row r="102" spans="1:17">
      <c r="A102" s="1406"/>
      <c r="B102" s="1387"/>
      <c r="C102" s="590"/>
      <c r="D102" s="1394"/>
      <c r="E102" s="1395"/>
      <c r="F102" s="595"/>
      <c r="G102" s="601"/>
      <c r="H102" s="586" t="str">
        <f t="shared" si="15"/>
        <v/>
      </c>
      <c r="I102" s="585" t="str">
        <f t="shared" si="16"/>
        <v/>
      </c>
      <c r="J102" s="585" t="str">
        <f t="shared" si="17"/>
        <v/>
      </c>
      <c r="K102" s="586" t="str">
        <f t="shared" si="18"/>
        <v/>
      </c>
      <c r="L102" s="666"/>
      <c r="M102" s="658"/>
      <c r="N102" s="677">
        <v>0.6</v>
      </c>
      <c r="O102" s="587" t="str">
        <f t="shared" si="19"/>
        <v/>
      </c>
      <c r="P102" s="680"/>
    </row>
    <row r="103" spans="1:17">
      <c r="A103" s="1406"/>
      <c r="B103" s="1387"/>
      <c r="C103" s="589"/>
      <c r="D103" s="1394"/>
      <c r="E103" s="1395"/>
      <c r="F103" s="597"/>
      <c r="G103" s="592"/>
      <c r="H103" s="586" t="str">
        <f t="shared" si="15"/>
        <v/>
      </c>
      <c r="I103" s="585" t="str">
        <f t="shared" si="16"/>
        <v/>
      </c>
      <c r="J103" s="585" t="str">
        <f t="shared" si="17"/>
        <v/>
      </c>
      <c r="K103" s="586" t="str">
        <f t="shared" si="18"/>
        <v/>
      </c>
      <c r="L103" s="666"/>
      <c r="M103" s="658"/>
      <c r="N103" s="677">
        <v>0.6</v>
      </c>
      <c r="O103" s="587" t="str">
        <f t="shared" si="19"/>
        <v/>
      </c>
      <c r="P103" s="680"/>
    </row>
    <row r="104" spans="1:17">
      <c r="A104" s="1407"/>
      <c r="B104" s="1388"/>
      <c r="C104" s="1478" t="s">
        <v>157</v>
      </c>
      <c r="D104" s="1479"/>
      <c r="E104" s="1479"/>
      <c r="F104" s="1479"/>
      <c r="G104" s="1479"/>
      <c r="H104" s="1479"/>
      <c r="I104" s="1479"/>
      <c r="J104" s="1479"/>
      <c r="K104" s="1479"/>
      <c r="L104" s="1479"/>
      <c r="M104" s="1479"/>
      <c r="N104" s="1480"/>
      <c r="O104" s="1378">
        <f>SUM(O84:O103)</f>
        <v>45010</v>
      </c>
      <c r="P104" s="1379"/>
    </row>
    <row r="105" spans="1:17">
      <c r="A105" s="1398" t="s">
        <v>332</v>
      </c>
      <c r="B105" s="1399"/>
      <c r="C105" s="1399"/>
      <c r="D105" s="1410" t="s">
        <v>432</v>
      </c>
      <c r="E105" s="1411"/>
      <c r="F105" s="1411"/>
      <c r="G105" s="1411"/>
      <c r="H105" s="1411"/>
      <c r="I105" s="1411"/>
      <c r="J105" s="1411"/>
      <c r="K105" s="1411"/>
      <c r="L105" s="1411"/>
      <c r="M105" s="1411"/>
      <c r="N105" s="1412"/>
      <c r="O105" s="1413">
        <f>O30+O83</f>
        <v>178764</v>
      </c>
      <c r="P105" s="1414"/>
    </row>
    <row r="106" spans="1:17">
      <c r="A106" s="1398"/>
      <c r="B106" s="1399"/>
      <c r="C106" s="1399"/>
      <c r="D106" s="1418" t="s">
        <v>433</v>
      </c>
      <c r="E106" s="1419"/>
      <c r="F106" s="1419"/>
      <c r="G106" s="1419"/>
      <c r="H106" s="1419"/>
      <c r="I106" s="1419"/>
      <c r="J106" s="1419"/>
      <c r="K106" s="1419"/>
      <c r="L106" s="1419"/>
      <c r="M106" s="1419"/>
      <c r="N106" s="1420"/>
      <c r="O106" s="1415">
        <f>(O62+O104)</f>
        <v>49511</v>
      </c>
      <c r="P106" s="1414"/>
    </row>
    <row r="107" spans="1:17" ht="17.25" thickBot="1">
      <c r="A107" s="1400"/>
      <c r="B107" s="1401"/>
      <c r="C107" s="1402"/>
      <c r="D107" s="1481" t="s">
        <v>74</v>
      </c>
      <c r="E107" s="1482"/>
      <c r="F107" s="1482"/>
      <c r="G107" s="1482"/>
      <c r="H107" s="1482"/>
      <c r="I107" s="1482"/>
      <c r="J107" s="1482"/>
      <c r="K107" s="1482"/>
      <c r="L107" s="1482"/>
      <c r="M107" s="1482"/>
      <c r="N107" s="1483"/>
      <c r="O107" s="1416">
        <f>O105+O106</f>
        <v>228275</v>
      </c>
      <c r="P107" s="1417"/>
    </row>
    <row r="108" spans="1:17">
      <c r="A108" s="602"/>
      <c r="B108" s="603"/>
      <c r="C108" s="603"/>
      <c r="D108" s="603"/>
      <c r="E108" s="603"/>
      <c r="F108" s="603"/>
      <c r="G108" s="603"/>
      <c r="H108" s="603"/>
      <c r="I108" s="603"/>
      <c r="J108" s="603"/>
      <c r="K108" s="603"/>
      <c r="L108" s="667"/>
      <c r="M108" s="603"/>
      <c r="N108" s="603"/>
      <c r="O108" s="603"/>
      <c r="P108" s="681"/>
    </row>
    <row r="109" spans="1:17" ht="20.25" thickBot="1">
      <c r="A109" s="443" t="s">
        <v>489</v>
      </c>
      <c r="B109" s="604"/>
      <c r="C109" s="604"/>
      <c r="D109" s="604"/>
      <c r="E109" s="604"/>
      <c r="F109" s="604"/>
      <c r="G109" s="604"/>
      <c r="H109" s="604"/>
      <c r="I109" s="604"/>
      <c r="J109" s="604"/>
      <c r="K109" s="604"/>
      <c r="L109" s="668"/>
      <c r="M109" s="604"/>
      <c r="N109" s="604"/>
      <c r="O109" s="604"/>
      <c r="P109" s="682"/>
    </row>
    <row r="110" spans="1:17" ht="16.5" customHeight="1">
      <c r="A110" s="1486" t="s">
        <v>379</v>
      </c>
      <c r="B110" s="1487"/>
      <c r="C110" s="1487"/>
      <c r="D110" s="1487"/>
      <c r="E110" s="1487"/>
      <c r="F110" s="1487"/>
      <c r="G110" s="1488"/>
      <c r="H110" s="1484" t="s">
        <v>372</v>
      </c>
      <c r="I110" s="1441"/>
      <c r="J110" s="1485"/>
      <c r="K110" s="1496" t="s">
        <v>373</v>
      </c>
      <c r="L110" s="1498" t="s">
        <v>374</v>
      </c>
      <c r="M110" s="1496" t="s">
        <v>375</v>
      </c>
      <c r="N110" s="1512" t="s">
        <v>218</v>
      </c>
      <c r="O110" s="1514" t="s">
        <v>434</v>
      </c>
      <c r="P110" s="1516" t="s">
        <v>70</v>
      </c>
      <c r="Q110" s="441"/>
    </row>
    <row r="111" spans="1:17" ht="17.25" thickBot="1">
      <c r="A111" s="1489"/>
      <c r="B111" s="1490"/>
      <c r="C111" s="1490"/>
      <c r="D111" s="1490"/>
      <c r="E111" s="1490"/>
      <c r="F111" s="1490"/>
      <c r="G111" s="1491"/>
      <c r="H111" s="605" t="s">
        <v>376</v>
      </c>
      <c r="I111" s="606" t="s">
        <v>377</v>
      </c>
      <c r="J111" s="607" t="s">
        <v>378</v>
      </c>
      <c r="K111" s="1497"/>
      <c r="L111" s="1499"/>
      <c r="M111" s="1497"/>
      <c r="N111" s="1513"/>
      <c r="O111" s="1515"/>
      <c r="P111" s="1517"/>
    </row>
    <row r="112" spans="1:17" ht="17.25" thickTop="1">
      <c r="A112" s="1518" t="s">
        <v>380</v>
      </c>
      <c r="B112" s="1519"/>
      <c r="C112" s="1519"/>
      <c r="D112" s="1519"/>
      <c r="E112" s="1519"/>
      <c r="F112" s="1519"/>
      <c r="G112" s="1520"/>
      <c r="H112" s="608"/>
      <c r="I112" s="609"/>
      <c r="J112" s="610">
        <f>I112-H112</f>
        <v>0</v>
      </c>
      <c r="K112" s="611"/>
      <c r="L112" s="669">
        <v>90</v>
      </c>
      <c r="M112" s="1510" t="str">
        <f>IF(L119&gt;=90,"A",IF(L119&gt;=88,"B",IF(L119&gt;=85,"C","D")))</f>
        <v>A</v>
      </c>
      <c r="N112" s="1506">
        <f>IF(L119&gt;=90,2,IF(L119&gt;=88,1.5,IF(L119&gt;=85,1,0.5)))</f>
        <v>2</v>
      </c>
      <c r="O112" s="1508"/>
      <c r="P112" s="1500"/>
    </row>
    <row r="113" spans="1:16">
      <c r="A113" s="1493"/>
      <c r="B113" s="1494"/>
      <c r="C113" s="1494"/>
      <c r="D113" s="1494"/>
      <c r="E113" s="1494"/>
      <c r="F113" s="1494"/>
      <c r="G113" s="1495"/>
      <c r="H113" s="612"/>
      <c r="I113" s="594"/>
      <c r="J113" s="613">
        <f t="shared" ref="J113:J118" si="20">I113-H113</f>
        <v>0</v>
      </c>
      <c r="K113" s="614"/>
      <c r="L113" s="670"/>
      <c r="M113" s="1510"/>
      <c r="N113" s="1506"/>
      <c r="O113" s="1508"/>
      <c r="P113" s="1501"/>
    </row>
    <row r="114" spans="1:16">
      <c r="A114" s="1493"/>
      <c r="B114" s="1494"/>
      <c r="C114" s="1494"/>
      <c r="D114" s="1494"/>
      <c r="E114" s="1494"/>
      <c r="F114" s="1494"/>
      <c r="G114" s="1495"/>
      <c r="H114" s="594"/>
      <c r="I114" s="594"/>
      <c r="J114" s="613">
        <f t="shared" si="20"/>
        <v>0</v>
      </c>
      <c r="K114" s="614"/>
      <c r="L114" s="670"/>
      <c r="M114" s="1510"/>
      <c r="N114" s="1506"/>
      <c r="O114" s="1508"/>
      <c r="P114" s="1501"/>
    </row>
    <row r="115" spans="1:16">
      <c r="A115" s="1493"/>
      <c r="B115" s="1494"/>
      <c r="C115" s="1494"/>
      <c r="D115" s="1494"/>
      <c r="E115" s="1494"/>
      <c r="F115" s="1494"/>
      <c r="G115" s="1495"/>
      <c r="H115" s="612"/>
      <c r="I115" s="594"/>
      <c r="J115" s="613">
        <f t="shared" si="20"/>
        <v>0</v>
      </c>
      <c r="K115" s="614"/>
      <c r="L115" s="670"/>
      <c r="M115" s="1510"/>
      <c r="N115" s="1506"/>
      <c r="O115" s="1508"/>
      <c r="P115" s="1501"/>
    </row>
    <row r="116" spans="1:16">
      <c r="A116" s="1493"/>
      <c r="B116" s="1494"/>
      <c r="C116" s="1494"/>
      <c r="D116" s="1494"/>
      <c r="E116" s="1494"/>
      <c r="F116" s="1494"/>
      <c r="G116" s="1495"/>
      <c r="H116" s="612"/>
      <c r="I116" s="594"/>
      <c r="J116" s="613">
        <f t="shared" si="20"/>
        <v>0</v>
      </c>
      <c r="K116" s="614"/>
      <c r="L116" s="670"/>
      <c r="M116" s="1510"/>
      <c r="N116" s="1506"/>
      <c r="O116" s="1508"/>
      <c r="P116" s="1501"/>
    </row>
    <row r="117" spans="1:16">
      <c r="A117" s="1493"/>
      <c r="B117" s="1494"/>
      <c r="C117" s="1494"/>
      <c r="D117" s="1494"/>
      <c r="E117" s="1494"/>
      <c r="F117" s="1494"/>
      <c r="G117" s="1495"/>
      <c r="H117" s="612"/>
      <c r="I117" s="594"/>
      <c r="J117" s="613">
        <f t="shared" si="20"/>
        <v>0</v>
      </c>
      <c r="K117" s="614"/>
      <c r="L117" s="670"/>
      <c r="M117" s="1510"/>
      <c r="N117" s="1506"/>
      <c r="O117" s="1508"/>
      <c r="P117" s="1501"/>
    </row>
    <row r="118" spans="1:16">
      <c r="A118" s="1493"/>
      <c r="B118" s="1494"/>
      <c r="C118" s="1494"/>
      <c r="D118" s="1494"/>
      <c r="E118" s="1494"/>
      <c r="F118" s="1494"/>
      <c r="G118" s="1495"/>
      <c r="H118" s="612"/>
      <c r="I118" s="594"/>
      <c r="J118" s="613">
        <f t="shared" si="20"/>
        <v>0</v>
      </c>
      <c r="K118" s="614"/>
      <c r="L118" s="670"/>
      <c r="M118" s="1510"/>
      <c r="N118" s="1506"/>
      <c r="O118" s="1508"/>
      <c r="P118" s="1501"/>
    </row>
    <row r="119" spans="1:16" ht="17.25" thickBot="1">
      <c r="A119" s="1503" t="s">
        <v>381</v>
      </c>
      <c r="B119" s="1504"/>
      <c r="C119" s="1504"/>
      <c r="D119" s="1504"/>
      <c r="E119" s="1504"/>
      <c r="F119" s="1504"/>
      <c r="G119" s="1504"/>
      <c r="H119" s="1504"/>
      <c r="I119" s="1504"/>
      <c r="J119" s="1504"/>
      <c r="K119" s="1505"/>
      <c r="L119" s="671">
        <f>AVERAGE(L112:L118)</f>
        <v>90</v>
      </c>
      <c r="M119" s="1511"/>
      <c r="N119" s="1507"/>
      <c r="O119" s="1509"/>
      <c r="P119" s="1502"/>
    </row>
    <row r="120" spans="1:16">
      <c r="A120" s="408"/>
      <c r="B120" s="440"/>
      <c r="C120" s="440"/>
      <c r="D120" s="440"/>
      <c r="E120" s="440"/>
      <c r="F120" s="440"/>
      <c r="G120" s="440"/>
      <c r="H120" s="440"/>
      <c r="I120" s="440"/>
      <c r="J120" s="440"/>
      <c r="K120" s="440"/>
      <c r="L120" s="672"/>
      <c r="M120" s="440"/>
      <c r="N120" s="440"/>
      <c r="O120" s="440"/>
      <c r="P120" s="683"/>
    </row>
    <row r="121" spans="1:16">
      <c r="A121" s="331" t="s">
        <v>84</v>
      </c>
      <c r="B121" s="440"/>
      <c r="C121" s="440"/>
      <c r="D121" s="440"/>
      <c r="E121" s="440"/>
      <c r="F121" s="440"/>
      <c r="G121" s="440"/>
      <c r="H121" s="440"/>
      <c r="I121" s="440"/>
      <c r="J121" s="440"/>
      <c r="K121" s="440"/>
      <c r="L121" s="672"/>
      <c r="M121" s="440"/>
      <c r="N121" s="440"/>
      <c r="O121" s="440"/>
      <c r="P121" s="683"/>
    </row>
    <row r="122" spans="1:16">
      <c r="A122" s="331" t="s">
        <v>383</v>
      </c>
      <c r="B122" s="440"/>
      <c r="C122" s="440"/>
      <c r="D122" s="440"/>
      <c r="E122" s="440"/>
      <c r="F122" s="440"/>
      <c r="G122" s="440"/>
      <c r="H122" s="440"/>
      <c r="I122" s="440"/>
      <c r="J122" s="440"/>
      <c r="K122" s="440"/>
      <c r="L122" s="672"/>
      <c r="M122" s="440"/>
      <c r="N122" s="440"/>
      <c r="O122" s="440"/>
      <c r="P122" s="683"/>
    </row>
    <row r="123" spans="1:16">
      <c r="A123" s="331" t="s">
        <v>384</v>
      </c>
      <c r="B123" s="440"/>
      <c r="C123" s="440"/>
      <c r="D123" s="440"/>
      <c r="E123" s="440"/>
      <c r="F123" s="440"/>
      <c r="G123" s="440"/>
      <c r="H123" s="440"/>
      <c r="I123" s="440"/>
      <c r="J123" s="440"/>
      <c r="K123" s="440"/>
      <c r="L123" s="672"/>
      <c r="M123" s="440"/>
      <c r="N123" s="440"/>
      <c r="O123" s="440"/>
      <c r="P123" s="683"/>
    </row>
    <row r="124" spans="1:16">
      <c r="A124" s="331" t="s">
        <v>635</v>
      </c>
      <c r="B124" s="440"/>
      <c r="C124" s="440"/>
      <c r="D124" s="440"/>
      <c r="E124" s="440"/>
      <c r="F124" s="440"/>
      <c r="G124" s="440"/>
      <c r="H124" s="440"/>
      <c r="I124" s="440"/>
      <c r="J124" s="440"/>
      <c r="K124" s="440"/>
      <c r="L124" s="672"/>
      <c r="M124" s="440"/>
      <c r="N124" s="440"/>
      <c r="O124" s="440"/>
      <c r="P124" s="683"/>
    </row>
    <row r="125" spans="1:16">
      <c r="A125" s="319" t="s">
        <v>385</v>
      </c>
    </row>
  </sheetData>
  <mergeCells count="156">
    <mergeCell ref="A116:G116"/>
    <mergeCell ref="K110:K111"/>
    <mergeCell ref="L110:L111"/>
    <mergeCell ref="P112:P119"/>
    <mergeCell ref="A119:K119"/>
    <mergeCell ref="M110:M111"/>
    <mergeCell ref="N112:N119"/>
    <mergeCell ref="O112:O119"/>
    <mergeCell ref="M112:M119"/>
    <mergeCell ref="A115:G115"/>
    <mergeCell ref="A117:G117"/>
    <mergeCell ref="A118:G118"/>
    <mergeCell ref="N110:N111"/>
    <mergeCell ref="O110:O111"/>
    <mergeCell ref="P110:P111"/>
    <mergeCell ref="A112:G112"/>
    <mergeCell ref="A113:G113"/>
    <mergeCell ref="A114:G114"/>
    <mergeCell ref="D77:E77"/>
    <mergeCell ref="D98:E98"/>
    <mergeCell ref="D99:E99"/>
    <mergeCell ref="D100:E100"/>
    <mergeCell ref="D101:E101"/>
    <mergeCell ref="D102:E102"/>
    <mergeCell ref="D96:E96"/>
    <mergeCell ref="D97:E97"/>
    <mergeCell ref="D93:E93"/>
    <mergeCell ref="D94:E94"/>
    <mergeCell ref="C83:N83"/>
    <mergeCell ref="D82:E82"/>
    <mergeCell ref="D107:N107"/>
    <mergeCell ref="H110:J110"/>
    <mergeCell ref="A110:G111"/>
    <mergeCell ref="D41:E41"/>
    <mergeCell ref="D42:E42"/>
    <mergeCell ref="D43:E43"/>
    <mergeCell ref="D57:E57"/>
    <mergeCell ref="D58:E58"/>
    <mergeCell ref="D59:E59"/>
    <mergeCell ref="D69:E69"/>
    <mergeCell ref="C62:N62"/>
    <mergeCell ref="D65:E65"/>
    <mergeCell ref="D66:E66"/>
    <mergeCell ref="D67:E67"/>
    <mergeCell ref="D50:E50"/>
    <mergeCell ref="D51:E51"/>
    <mergeCell ref="D52:E52"/>
    <mergeCell ref="D54:E54"/>
    <mergeCell ref="D55:E55"/>
    <mergeCell ref="D56:E56"/>
    <mergeCell ref="D68:E68"/>
    <mergeCell ref="A12:A62"/>
    <mergeCell ref="D12:E12"/>
    <mergeCell ref="C104:N104"/>
    <mergeCell ref="D32:E32"/>
    <mergeCell ref="D33:E33"/>
    <mergeCell ref="D34:E34"/>
    <mergeCell ref="D35:E35"/>
    <mergeCell ref="D36:E36"/>
    <mergeCell ref="D37:E37"/>
    <mergeCell ref="D27:E27"/>
    <mergeCell ref="D28:E28"/>
    <mergeCell ref="D29:E29"/>
    <mergeCell ref="C30:N30"/>
    <mergeCell ref="D44:E44"/>
    <mergeCell ref="D45:E45"/>
    <mergeCell ref="D46:E46"/>
    <mergeCell ref="D47:E47"/>
    <mergeCell ref="D48:E48"/>
    <mergeCell ref="D49:E49"/>
    <mergeCell ref="D38:E38"/>
    <mergeCell ref="D39:E39"/>
    <mergeCell ref="N1:N2"/>
    <mergeCell ref="N6:N8"/>
    <mergeCell ref="D13:E13"/>
    <mergeCell ref="D14:E14"/>
    <mergeCell ref="D15:E15"/>
    <mergeCell ref="D16:E16"/>
    <mergeCell ref="D17:E17"/>
    <mergeCell ref="D18:E18"/>
    <mergeCell ref="D19:E19"/>
    <mergeCell ref="D31:E31"/>
    <mergeCell ref="D21:E21"/>
    <mergeCell ref="D22:E22"/>
    <mergeCell ref="D23:E23"/>
    <mergeCell ref="D24:E24"/>
    <mergeCell ref="D25:E25"/>
    <mergeCell ref="D26:E26"/>
    <mergeCell ref="O1:P1"/>
    <mergeCell ref="P10:P11"/>
    <mergeCell ref="C10:C11"/>
    <mergeCell ref="D10:E11"/>
    <mergeCell ref="L10:L11"/>
    <mergeCell ref="M10:M11"/>
    <mergeCell ref="N10:N11"/>
    <mergeCell ref="O10:O11"/>
    <mergeCell ref="I10:K10"/>
    <mergeCell ref="F10:H10"/>
    <mergeCell ref="O6:O8"/>
    <mergeCell ref="A6:F7"/>
    <mergeCell ref="A5:F5"/>
    <mergeCell ref="A8:F8"/>
    <mergeCell ref="A10:B11"/>
    <mergeCell ref="P6:P8"/>
    <mergeCell ref="L5:M5"/>
    <mergeCell ref="L6:M8"/>
    <mergeCell ref="K4:P4"/>
    <mergeCell ref="G5:K5"/>
    <mergeCell ref="O104:P104"/>
    <mergeCell ref="A105:C107"/>
    <mergeCell ref="D84:E84"/>
    <mergeCell ref="A63:A104"/>
    <mergeCell ref="D63:E63"/>
    <mergeCell ref="D64:E64"/>
    <mergeCell ref="D95:E95"/>
    <mergeCell ref="D70:E70"/>
    <mergeCell ref="D78:E78"/>
    <mergeCell ref="D91:E91"/>
    <mergeCell ref="D92:E92"/>
    <mergeCell ref="D90:E90"/>
    <mergeCell ref="D87:E87"/>
    <mergeCell ref="D88:E88"/>
    <mergeCell ref="O83:P83"/>
    <mergeCell ref="D85:E85"/>
    <mergeCell ref="D86:E86"/>
    <mergeCell ref="D89:E89"/>
    <mergeCell ref="D103:E103"/>
    <mergeCell ref="D105:N105"/>
    <mergeCell ref="O105:P105"/>
    <mergeCell ref="O106:P106"/>
    <mergeCell ref="O107:P107"/>
    <mergeCell ref="D106:N106"/>
    <mergeCell ref="O62:P62"/>
    <mergeCell ref="D60:E60"/>
    <mergeCell ref="D61:E61"/>
    <mergeCell ref="D53:E53"/>
    <mergeCell ref="D20:E20"/>
    <mergeCell ref="B84:B93"/>
    <mergeCell ref="B94:B104"/>
    <mergeCell ref="B12:B21"/>
    <mergeCell ref="B22:B30"/>
    <mergeCell ref="B31:B44"/>
    <mergeCell ref="B45:B62"/>
    <mergeCell ref="B63:B72"/>
    <mergeCell ref="B73:B83"/>
    <mergeCell ref="D74:E74"/>
    <mergeCell ref="D75:E75"/>
    <mergeCell ref="D72:E72"/>
    <mergeCell ref="D73:E73"/>
    <mergeCell ref="D71:E71"/>
    <mergeCell ref="D79:E79"/>
    <mergeCell ref="D80:E80"/>
    <mergeCell ref="D81:E81"/>
    <mergeCell ref="D76:E76"/>
    <mergeCell ref="O30:P30"/>
    <mergeCell ref="D40:E40"/>
  </mergeCells>
  <phoneticPr fontId="4" type="noConversion"/>
  <pageMargins left="0.75" right="0.57999999999999996" top="1" bottom="0.71" header="0.5" footer="0.5"/>
  <pageSetup paperSize="9" scale="49" fitToWidth="0" fitToHeight="0" orientation="portrait" r:id="rId1"/>
  <headerFooter alignWithMargins="0"/>
  <rowBreaks count="1" manualBreakCount="1">
    <brk id="83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'(별표1)유사용역 인정범위'!$D$4:$D$13</xm:f>
          </x14:formula1>
          <xm:sqref>P31:P61 P84:P103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A1:AC53"/>
  <sheetViews>
    <sheetView showGridLines="0" view="pageBreakPreview" zoomScaleNormal="100" zoomScaleSheetLayoutView="100" workbookViewId="0">
      <selection activeCell="S13" sqref="S13"/>
    </sheetView>
  </sheetViews>
  <sheetFormatPr defaultRowHeight="16.5"/>
  <cols>
    <col min="1" max="1" width="1.77734375" style="164" customWidth="1"/>
    <col min="2" max="2" width="6.33203125" style="164" customWidth="1"/>
    <col min="3" max="3" width="8.6640625" style="164" customWidth="1"/>
    <col min="4" max="4" width="6.6640625" style="164" customWidth="1"/>
    <col min="5" max="6" width="11.77734375" style="164" customWidth="1"/>
    <col min="7" max="9" width="6.77734375" style="164" customWidth="1"/>
    <col min="10" max="10" width="9.21875" style="164" customWidth="1"/>
    <col min="11" max="11" width="1.77734375" style="164" customWidth="1"/>
    <col min="12" max="12" width="11.21875" style="165" customWidth="1"/>
    <col min="13" max="13" width="2.6640625" style="164" customWidth="1"/>
    <col min="14" max="14" width="4.5546875" style="164" customWidth="1"/>
    <col min="15" max="18" width="8.77734375" style="165" customWidth="1"/>
    <col min="19" max="19" width="8.77734375" style="164" customWidth="1"/>
    <col min="20" max="16384" width="8.88671875" style="164"/>
  </cols>
  <sheetData>
    <row r="1" spans="1:18" ht="24.95" customHeight="1" thickBot="1"/>
    <row r="2" spans="1:18" s="166" customFormat="1" ht="24">
      <c r="A2" s="446" t="s">
        <v>221</v>
      </c>
      <c r="B2" s="446"/>
      <c r="H2" s="1542" t="s">
        <v>149</v>
      </c>
      <c r="I2" s="1543"/>
      <c r="J2" s="1522" t="s">
        <v>386</v>
      </c>
      <c r="K2" s="1522"/>
      <c r="L2" s="1523"/>
      <c r="M2" s="167"/>
      <c r="O2" s="170"/>
      <c r="P2" s="168"/>
    </row>
    <row r="3" spans="1:18" s="166" customFormat="1" ht="15" customHeight="1">
      <c r="A3" s="446"/>
      <c r="B3" s="446"/>
      <c r="H3" s="1544"/>
      <c r="I3" s="1545"/>
      <c r="J3" s="1524" t="s">
        <v>9</v>
      </c>
      <c r="K3" s="1524"/>
      <c r="L3" s="449" t="s">
        <v>10</v>
      </c>
      <c r="M3" s="167"/>
      <c r="O3" s="175"/>
      <c r="P3" s="168"/>
    </row>
    <row r="4" spans="1:18" s="166" customFormat="1" ht="24.95" customHeight="1" thickBot="1">
      <c r="H4" s="1558">
        <f>작성요령!V19</f>
        <v>45292</v>
      </c>
      <c r="I4" s="1526"/>
      <c r="J4" s="1525">
        <f>L4-365</f>
        <v>44926</v>
      </c>
      <c r="K4" s="1526"/>
      <c r="L4" s="450">
        <f>H4-1</f>
        <v>45291</v>
      </c>
      <c r="M4" s="167"/>
      <c r="O4" s="177"/>
      <c r="P4" s="167"/>
      <c r="Q4" s="168"/>
      <c r="R4" s="168"/>
    </row>
    <row r="5" spans="1:18" s="169" customFormat="1" ht="24.95" customHeight="1" thickBot="1">
      <c r="A5" s="447" t="s">
        <v>490</v>
      </c>
      <c r="B5" s="447"/>
      <c r="G5" s="170"/>
      <c r="I5" s="171"/>
      <c r="J5" s="172"/>
      <c r="K5" s="173"/>
      <c r="L5" s="172"/>
      <c r="O5" s="170"/>
      <c r="P5" s="174"/>
      <c r="Q5" s="174"/>
      <c r="R5" s="174"/>
    </row>
    <row r="6" spans="1:18" ht="24.95" customHeight="1">
      <c r="B6" s="1527" t="s">
        <v>390</v>
      </c>
      <c r="C6" s="1528"/>
      <c r="D6" s="1529"/>
      <c r="E6" s="1533" t="s">
        <v>396</v>
      </c>
      <c r="F6" s="1534"/>
      <c r="G6" s="1535"/>
      <c r="H6" s="1536" t="s">
        <v>75</v>
      </c>
      <c r="I6" s="1536" t="s">
        <v>222</v>
      </c>
      <c r="J6" s="1580" t="s">
        <v>7</v>
      </c>
      <c r="K6" s="1581"/>
      <c r="L6" s="1566" t="s">
        <v>78</v>
      </c>
      <c r="M6" s="169"/>
      <c r="O6" s="923" t="s">
        <v>696</v>
      </c>
    </row>
    <row r="7" spans="1:18" ht="20.100000000000001" customHeight="1" thickBot="1">
      <c r="B7" s="1530"/>
      <c r="C7" s="1531"/>
      <c r="D7" s="1532"/>
      <c r="E7" s="216" t="s">
        <v>205</v>
      </c>
      <c r="F7" s="217" t="s">
        <v>206</v>
      </c>
      <c r="G7" s="456" t="s">
        <v>387</v>
      </c>
      <c r="H7" s="1537"/>
      <c r="I7" s="1537"/>
      <c r="J7" s="1582"/>
      <c r="K7" s="1583"/>
      <c r="L7" s="1567"/>
      <c r="M7" s="169"/>
      <c r="O7" s="924" t="s">
        <v>697</v>
      </c>
    </row>
    <row r="8" spans="1:18" ht="26.1" customHeight="1" thickTop="1">
      <c r="B8" s="1546" t="s">
        <v>391</v>
      </c>
      <c r="C8" s="1547"/>
      <c r="D8" s="1548"/>
      <c r="E8" s="176">
        <v>44927</v>
      </c>
      <c r="F8" s="457">
        <v>44956</v>
      </c>
      <c r="G8" s="454">
        <f>IF(OR(E8="없음",E8=""),0,(F8-E8+1))</f>
        <v>30</v>
      </c>
      <c r="H8" s="1549">
        <v>4</v>
      </c>
      <c r="I8" s="1592">
        <f>G13*0.2</f>
        <v>0.2</v>
      </c>
      <c r="J8" s="1552">
        <f>H8-I8</f>
        <v>3.8</v>
      </c>
      <c r="K8" s="1553"/>
      <c r="L8" s="1570"/>
      <c r="M8" s="169"/>
      <c r="O8" s="925" t="s">
        <v>698</v>
      </c>
    </row>
    <row r="9" spans="1:18" ht="26.1" customHeight="1">
      <c r="B9" s="1573" t="s">
        <v>392</v>
      </c>
      <c r="C9" s="1574"/>
      <c r="D9" s="1574"/>
      <c r="E9" s="455"/>
      <c r="F9" s="180"/>
      <c r="G9" s="204">
        <f>IF(OR(E9="없음",E9=""),0,(F9-E9+1))</f>
        <v>0</v>
      </c>
      <c r="H9" s="1550"/>
      <c r="I9" s="1593"/>
      <c r="J9" s="1554"/>
      <c r="K9" s="1555"/>
      <c r="L9" s="1571"/>
      <c r="M9" s="169"/>
    </row>
    <row r="10" spans="1:18" ht="26.1" customHeight="1">
      <c r="B10" s="1575" t="s">
        <v>393</v>
      </c>
      <c r="C10" s="1574"/>
      <c r="D10" s="1574"/>
      <c r="E10" s="178"/>
      <c r="F10" s="180"/>
      <c r="G10" s="204">
        <f>IF(OR(E10="없음",E10=""),0,(F10-E10+1))</f>
        <v>0</v>
      </c>
      <c r="H10" s="1550"/>
      <c r="I10" s="1593"/>
      <c r="J10" s="1554"/>
      <c r="K10" s="1555"/>
      <c r="L10" s="1571"/>
      <c r="M10" s="169"/>
      <c r="O10" s="179"/>
    </row>
    <row r="11" spans="1:18" ht="26.1" customHeight="1">
      <c r="B11" s="1573" t="s">
        <v>394</v>
      </c>
      <c r="C11" s="1574"/>
      <c r="D11" s="1574"/>
      <c r="E11" s="452"/>
      <c r="F11" s="180"/>
      <c r="G11" s="204">
        <f>IF(OR(E11="없음",E11=""),0,(F11-E11+1))</f>
        <v>0</v>
      </c>
      <c r="H11" s="1550"/>
      <c r="I11" s="1593"/>
      <c r="J11" s="1554"/>
      <c r="K11" s="1555"/>
      <c r="L11" s="1571"/>
      <c r="M11" s="169"/>
    </row>
    <row r="12" spans="1:18" ht="26.1" customHeight="1">
      <c r="B12" s="1576" t="s">
        <v>395</v>
      </c>
      <c r="C12" s="1547"/>
      <c r="D12" s="1548"/>
      <c r="E12" s="180"/>
      <c r="F12" s="180"/>
      <c r="G12" s="204">
        <f>IF(OR(E12="없음",E12=""),0,(F12-E12+1))</f>
        <v>0</v>
      </c>
      <c r="H12" s="1550"/>
      <c r="I12" s="1593"/>
      <c r="J12" s="1554"/>
      <c r="K12" s="1555"/>
      <c r="L12" s="1571"/>
      <c r="M12" s="169"/>
    </row>
    <row r="13" spans="1:18" ht="20.100000000000001" customHeight="1">
      <c r="B13" s="1577" t="s">
        <v>388</v>
      </c>
      <c r="C13" s="1578"/>
      <c r="D13" s="1578"/>
      <c r="E13" s="1578"/>
      <c r="F13" s="1578"/>
      <c r="G13" s="206">
        <f>ROUNDUP((SUM(G8:G12)/30),0)</f>
        <v>1</v>
      </c>
      <c r="H13" s="1551"/>
      <c r="I13" s="1594"/>
      <c r="J13" s="1556"/>
      <c r="K13" s="1557"/>
      <c r="L13" s="1572"/>
      <c r="M13" s="169"/>
    </row>
    <row r="14" spans="1:18" ht="26.1" customHeight="1">
      <c r="B14" s="1540" t="str">
        <f>'참여감리원 현황'!B8</f>
        <v>책임감리원</v>
      </c>
      <c r="C14" s="1541"/>
      <c r="D14" s="453" t="str">
        <f>'참여감리원 현황'!D8</f>
        <v>이순신</v>
      </c>
      <c r="E14" s="181">
        <v>44927</v>
      </c>
      <c r="F14" s="181">
        <v>45016</v>
      </c>
      <c r="G14" s="204">
        <f>IF(OR(E14="없음",E14=""),0,(F14-E14+1))</f>
        <v>90</v>
      </c>
      <c r="H14" s="1586">
        <v>3</v>
      </c>
      <c r="I14" s="1595">
        <f>G18*0.2</f>
        <v>0.2</v>
      </c>
      <c r="J14" s="1584">
        <f>H14-I14</f>
        <v>2.8</v>
      </c>
      <c r="K14" s="1585"/>
      <c r="L14" s="1579"/>
      <c r="M14" s="169"/>
    </row>
    <row r="15" spans="1:18" ht="26.1" customHeight="1">
      <c r="B15" s="1540" t="str">
        <f>'참여감리원 현황'!B9</f>
        <v>보조감리원</v>
      </c>
      <c r="C15" s="1541"/>
      <c r="D15" s="453" t="str">
        <f>'참여감리원 현황'!D9</f>
        <v>-</v>
      </c>
      <c r="E15" s="199"/>
      <c r="F15" s="180"/>
      <c r="G15" s="204">
        <f>IF(OR(E15="없음",E15=""),0,(F15-E15+1))</f>
        <v>0</v>
      </c>
      <c r="H15" s="1550"/>
      <c r="I15" s="1593"/>
      <c r="J15" s="1554"/>
      <c r="K15" s="1555"/>
      <c r="L15" s="1571"/>
      <c r="M15" s="169"/>
    </row>
    <row r="16" spans="1:18" ht="26.1" customHeight="1">
      <c r="B16" s="1540" t="str">
        <f>'참여감리원 현황'!B10</f>
        <v>보조감리원</v>
      </c>
      <c r="C16" s="1541"/>
      <c r="D16" s="453" t="str">
        <f>'참여감리원 현황'!D10</f>
        <v>-</v>
      </c>
      <c r="E16" s="188"/>
      <c r="F16" s="180"/>
      <c r="G16" s="204">
        <f>IF(OR(E16="없음",E16=""),0,(F16-E16+1))</f>
        <v>0</v>
      </c>
      <c r="H16" s="1550"/>
      <c r="I16" s="1593"/>
      <c r="J16" s="1554"/>
      <c r="K16" s="1555"/>
      <c r="L16" s="1571"/>
      <c r="M16" s="169"/>
    </row>
    <row r="17" spans="1:20" ht="26.1" customHeight="1">
      <c r="B17" s="1540" t="str">
        <f>'참여감리원 현황'!B11</f>
        <v>기술지원감리원</v>
      </c>
      <c r="C17" s="1541"/>
      <c r="D17" s="453" t="str">
        <f>'참여감리원 현황'!D11</f>
        <v>안중근</v>
      </c>
      <c r="E17" s="188"/>
      <c r="F17" s="180"/>
      <c r="G17" s="204">
        <f>IF(OR(E17="없음",E17=""),0,(F17-E17+1))</f>
        <v>0</v>
      </c>
      <c r="H17" s="1550"/>
      <c r="I17" s="1593"/>
      <c r="J17" s="1554"/>
      <c r="K17" s="1555"/>
      <c r="L17" s="1571"/>
      <c r="M17" s="169"/>
    </row>
    <row r="18" spans="1:20" ht="20.100000000000001" customHeight="1">
      <c r="B18" s="1559" t="s">
        <v>389</v>
      </c>
      <c r="C18" s="1560"/>
      <c r="D18" s="1560"/>
      <c r="E18" s="1560"/>
      <c r="F18" s="1561"/>
      <c r="G18" s="206">
        <f>ROUNDUP((SUM(G14:G17)/90),0)</f>
        <v>1</v>
      </c>
      <c r="H18" s="1551"/>
      <c r="I18" s="1594"/>
      <c r="J18" s="1556"/>
      <c r="K18" s="1557"/>
      <c r="L18" s="1572"/>
      <c r="M18" s="169"/>
    </row>
    <row r="19" spans="1:20" ht="24.95" customHeight="1" thickBot="1">
      <c r="B19" s="1587" t="s">
        <v>74</v>
      </c>
      <c r="C19" s="1588"/>
      <c r="D19" s="1588"/>
      <c r="E19" s="1588"/>
      <c r="F19" s="1588"/>
      <c r="G19" s="1589"/>
      <c r="H19" s="182">
        <v>7</v>
      </c>
      <c r="I19" s="183">
        <f>SUM(I8:I18)</f>
        <v>0.4</v>
      </c>
      <c r="J19" s="1590">
        <f>J8+J14</f>
        <v>6.6</v>
      </c>
      <c r="K19" s="1591"/>
      <c r="L19" s="203">
        <f>L8+L14</f>
        <v>0</v>
      </c>
      <c r="M19" s="169"/>
    </row>
    <row r="20" spans="1:20" ht="17.25">
      <c r="A20" s="184"/>
      <c r="B20" s="334"/>
      <c r="C20" s="184"/>
      <c r="D20" s="185"/>
      <c r="E20" s="186"/>
      <c r="F20" s="186"/>
      <c r="G20" s="186"/>
      <c r="H20" s="186"/>
      <c r="I20" s="186"/>
      <c r="J20" s="186"/>
      <c r="K20" s="186"/>
      <c r="L20" s="875"/>
      <c r="O20" s="460"/>
      <c r="P20" s="460"/>
      <c r="Q20" s="460"/>
      <c r="R20" s="460"/>
      <c r="S20" s="460"/>
      <c r="T20" s="461"/>
    </row>
    <row r="21" spans="1:20" ht="24.95" customHeight="1">
      <c r="A21" s="448" t="s">
        <v>491</v>
      </c>
      <c r="B21" s="39"/>
      <c r="C21" s="163"/>
      <c r="D21" s="458"/>
      <c r="E21" s="163"/>
      <c r="F21" s="163"/>
      <c r="G21" s="163"/>
      <c r="H21" s="163"/>
      <c r="I21" s="163"/>
      <c r="J21" s="163"/>
      <c r="K21" s="163"/>
      <c r="L21" s="876"/>
      <c r="M21" s="3"/>
      <c r="O21" s="1538" t="s">
        <v>486</v>
      </c>
      <c r="P21" s="1538"/>
      <c r="Q21" s="1538"/>
      <c r="R21" s="1538"/>
      <c r="S21" s="1538"/>
      <c r="T21" s="1538"/>
    </row>
    <row r="22" spans="1:20">
      <c r="A22" s="1" t="s">
        <v>2</v>
      </c>
      <c r="B22" s="695" t="s">
        <v>492</v>
      </c>
      <c r="C22" s="163"/>
      <c r="D22" s="163"/>
      <c r="E22" s="163"/>
      <c r="F22" s="163"/>
      <c r="G22" s="163"/>
      <c r="H22" s="163"/>
      <c r="I22" s="163"/>
      <c r="J22" s="163"/>
      <c r="K22" s="163"/>
      <c r="L22" s="876"/>
      <c r="M22" s="3"/>
      <c r="O22" s="1538"/>
      <c r="P22" s="1538"/>
      <c r="Q22" s="1538"/>
      <c r="R22" s="1538"/>
      <c r="S22" s="1538"/>
      <c r="T22" s="1538"/>
    </row>
    <row r="23" spans="1:20" ht="17.25" thickBot="1">
      <c r="A23" s="3"/>
      <c r="B23" s="696" t="s">
        <v>494</v>
      </c>
      <c r="C23" s="163"/>
      <c r="D23" s="163"/>
      <c r="E23" s="163"/>
      <c r="F23" s="163"/>
      <c r="G23" s="163"/>
      <c r="H23" s="163"/>
      <c r="I23" s="163"/>
      <c r="J23" s="163"/>
      <c r="K23" s="163"/>
      <c r="L23" s="876"/>
      <c r="M23" s="3"/>
      <c r="O23" s="1539"/>
      <c r="P23" s="1539"/>
      <c r="Q23" s="1539"/>
      <c r="R23" s="1539"/>
      <c r="S23" s="1539"/>
      <c r="T23" s="1539"/>
    </row>
    <row r="24" spans="1:20" ht="33" customHeight="1" thickBot="1">
      <c r="A24" s="1"/>
      <c r="B24" s="1599" t="s">
        <v>92</v>
      </c>
      <c r="C24" s="1600"/>
      <c r="D24" s="1601"/>
      <c r="E24" s="1596" t="s">
        <v>397</v>
      </c>
      <c r="F24" s="1598"/>
      <c r="G24" s="1596" t="s">
        <v>93</v>
      </c>
      <c r="H24" s="1597"/>
      <c r="I24" s="1598"/>
      <c r="J24" s="1602" t="s">
        <v>77</v>
      </c>
      <c r="K24" s="1603"/>
      <c r="L24" s="205" t="s">
        <v>78</v>
      </c>
      <c r="M24" s="1"/>
      <c r="O24" s="684" t="s">
        <v>97</v>
      </c>
      <c r="P24" s="684" t="s">
        <v>480</v>
      </c>
      <c r="Q24" s="684" t="s">
        <v>481</v>
      </c>
      <c r="R24" s="684" t="s">
        <v>482</v>
      </c>
      <c r="S24" s="684" t="s">
        <v>483</v>
      </c>
      <c r="T24" s="685" t="s">
        <v>484</v>
      </c>
    </row>
    <row r="25" spans="1:20" ht="26.1" customHeight="1" thickTop="1" thickBot="1">
      <c r="A25" s="1"/>
      <c r="B25" s="1563">
        <v>0.50619999999999998</v>
      </c>
      <c r="C25" s="1564"/>
      <c r="D25" s="1565"/>
      <c r="E25" s="1568">
        <v>0.44440000000000002</v>
      </c>
      <c r="F25" s="1569"/>
      <c r="G25" s="1607">
        <f>ROUND(B25/E25,2)</f>
        <v>1.1399999999999999</v>
      </c>
      <c r="H25" s="1608"/>
      <c r="I25" s="1609"/>
      <c r="J25" s="1604">
        <f>IF(G25="",0,IF(G25&gt;=100%,1,IF(G25&gt;=75%,0.85,IF(G25&gt;=50%,0.7,IF(G25&gt;=25%,0.55,0.4)))))</f>
        <v>1</v>
      </c>
      <c r="K25" s="1605"/>
      <c r="L25" s="877"/>
      <c r="M25" s="1"/>
      <c r="O25" s="684" t="s">
        <v>12</v>
      </c>
      <c r="P25" s="691">
        <v>1</v>
      </c>
      <c r="Q25" s="691">
        <v>0.85</v>
      </c>
      <c r="R25" s="691">
        <v>0.7</v>
      </c>
      <c r="S25" s="691">
        <v>0.55000000000000004</v>
      </c>
      <c r="T25" s="692">
        <v>0.4</v>
      </c>
    </row>
    <row r="26" spans="1:20" ht="25.5" customHeight="1">
      <c r="A26" s="1"/>
      <c r="B26" s="39"/>
      <c r="C26" s="39"/>
      <c r="D26" s="39"/>
      <c r="E26" s="39"/>
      <c r="F26" s="39"/>
      <c r="G26" s="200"/>
      <c r="H26" s="200"/>
      <c r="I26" s="39"/>
      <c r="J26" s="39"/>
      <c r="K26" s="39"/>
      <c r="L26" s="40"/>
      <c r="M26" s="1"/>
      <c r="O26" s="686"/>
      <c r="P26" s="687"/>
      <c r="Q26" s="687"/>
      <c r="R26" s="687"/>
      <c r="S26" s="687"/>
      <c r="T26" s="688"/>
    </row>
    <row r="27" spans="1:20" ht="16.5" customHeight="1">
      <c r="A27" s="3"/>
      <c r="B27" s="695" t="s">
        <v>493</v>
      </c>
      <c r="C27" s="163"/>
      <c r="D27" s="163"/>
      <c r="E27" s="459"/>
      <c r="F27" s="163"/>
      <c r="G27" s="201"/>
      <c r="H27" s="201"/>
      <c r="I27" s="163"/>
      <c r="J27" s="163"/>
      <c r="K27" s="163"/>
      <c r="L27" s="876"/>
      <c r="M27" s="3"/>
      <c r="O27" s="1521" t="s">
        <v>485</v>
      </c>
      <c r="P27" s="1521"/>
      <c r="Q27" s="1521"/>
      <c r="R27" s="1521"/>
      <c r="S27" s="1521"/>
      <c r="T27" s="1521"/>
    </row>
    <row r="28" spans="1:20" ht="26.25" customHeight="1" thickBot="1">
      <c r="A28" s="3"/>
      <c r="B28" s="696" t="s">
        <v>495</v>
      </c>
      <c r="C28" s="163"/>
      <c r="D28" s="163"/>
      <c r="E28" s="163"/>
      <c r="F28" s="163"/>
      <c r="G28" s="201"/>
      <c r="H28" s="201"/>
      <c r="I28" s="163"/>
      <c r="J28" s="163"/>
      <c r="K28" s="163"/>
      <c r="L28" s="876"/>
      <c r="M28" s="3"/>
      <c r="O28" s="1521"/>
      <c r="P28" s="1521"/>
      <c r="Q28" s="1521"/>
      <c r="R28" s="1521"/>
      <c r="S28" s="1521"/>
      <c r="T28" s="1521"/>
    </row>
    <row r="29" spans="1:20" ht="33.75" thickBot="1">
      <c r="A29" s="3"/>
      <c r="B29" s="1606" t="s">
        <v>398</v>
      </c>
      <c r="C29" s="1600"/>
      <c r="D29" s="1601"/>
      <c r="E29" s="1596" t="s">
        <v>94</v>
      </c>
      <c r="F29" s="1598"/>
      <c r="G29" s="1596" t="s">
        <v>95</v>
      </c>
      <c r="H29" s="1597"/>
      <c r="I29" s="1598"/>
      <c r="J29" s="1602" t="s">
        <v>77</v>
      </c>
      <c r="K29" s="1603"/>
      <c r="L29" s="205" t="s">
        <v>78</v>
      </c>
      <c r="M29" s="3"/>
      <c r="O29" s="684" t="s">
        <v>97</v>
      </c>
      <c r="P29" s="684" t="s">
        <v>480</v>
      </c>
      <c r="Q29" s="684" t="s">
        <v>481</v>
      </c>
      <c r="R29" s="684" t="s">
        <v>482</v>
      </c>
      <c r="S29" s="684" t="s">
        <v>483</v>
      </c>
      <c r="T29" s="685" t="s">
        <v>484</v>
      </c>
    </row>
    <row r="30" spans="1:20" ht="23.25" customHeight="1" thickTop="1" thickBot="1">
      <c r="A30" s="3"/>
      <c r="B30" s="1563">
        <v>1.8898999999999999</v>
      </c>
      <c r="C30" s="1564"/>
      <c r="D30" s="1565"/>
      <c r="E30" s="1568">
        <v>1.2843</v>
      </c>
      <c r="F30" s="1569"/>
      <c r="G30" s="1607">
        <f>ROUND(B30/E30,2)</f>
        <v>1.47</v>
      </c>
      <c r="H30" s="1608"/>
      <c r="I30" s="1609"/>
      <c r="J30" s="1604">
        <f>IF(G30="",0,IF(G30&gt;=100%,2,IF(G30&gt;=75%,1.7,IF(G30&gt;=50%,1.4,IF(G30&gt;=25%,1.1,0.8)))))</f>
        <v>2</v>
      </c>
      <c r="K30" s="1605"/>
      <c r="L30" s="877"/>
      <c r="M30" s="3"/>
      <c r="O30" s="684" t="s">
        <v>12</v>
      </c>
      <c r="P30" s="693">
        <v>2</v>
      </c>
      <c r="Q30" s="693">
        <v>1.7</v>
      </c>
      <c r="R30" s="693">
        <v>1.4</v>
      </c>
      <c r="S30" s="693">
        <v>1.1000000000000001</v>
      </c>
      <c r="T30" s="694">
        <v>0.8</v>
      </c>
    </row>
    <row r="31" spans="1:20">
      <c r="A31" s="3"/>
      <c r="B31" s="202"/>
      <c r="C31" s="163"/>
      <c r="D31" s="163"/>
      <c r="E31" s="163"/>
      <c r="F31" s="163"/>
      <c r="G31" s="1562"/>
      <c r="H31" s="1562"/>
      <c r="I31" s="1562"/>
      <c r="J31" s="163"/>
      <c r="K31" s="163"/>
      <c r="L31" s="876"/>
      <c r="M31" s="3"/>
      <c r="O31" s="686"/>
      <c r="P31" s="690"/>
      <c r="Q31" s="690"/>
      <c r="R31" s="689"/>
      <c r="S31" s="688"/>
      <c r="T31" s="688"/>
    </row>
    <row r="32" spans="1:20">
      <c r="A32" s="3"/>
      <c r="B32" s="343" t="s">
        <v>84</v>
      </c>
      <c r="C32" s="163"/>
      <c r="D32" s="163"/>
      <c r="E32" s="163"/>
      <c r="F32" s="163"/>
      <c r="G32" s="201"/>
      <c r="H32" s="201"/>
      <c r="I32" s="163"/>
      <c r="J32" s="163"/>
      <c r="K32" s="163"/>
      <c r="L32" s="876"/>
      <c r="M32" s="3"/>
      <c r="O32" s="690"/>
      <c r="P32" s="690"/>
      <c r="Q32" s="690"/>
      <c r="R32" s="689"/>
      <c r="S32" s="688"/>
      <c r="T32" s="688"/>
    </row>
    <row r="33" spans="1:29">
      <c r="A33" s="3"/>
      <c r="B33" s="331" t="s">
        <v>399</v>
      </c>
      <c r="C33" s="163"/>
      <c r="D33" s="163"/>
      <c r="E33" s="163"/>
      <c r="F33" s="163"/>
      <c r="G33" s="201"/>
      <c r="H33" s="201"/>
      <c r="I33" s="163"/>
      <c r="J33" s="163"/>
      <c r="K33" s="163"/>
      <c r="L33" s="876"/>
      <c r="M33" s="3"/>
    </row>
    <row r="34" spans="1:29">
      <c r="A34" s="3"/>
      <c r="B34" s="331" t="s">
        <v>400</v>
      </c>
      <c r="C34" s="163"/>
      <c r="D34" s="163"/>
      <c r="E34" s="163"/>
      <c r="F34" s="163"/>
      <c r="G34" s="201"/>
      <c r="H34" s="201"/>
      <c r="I34" s="163"/>
      <c r="J34" s="163"/>
      <c r="K34" s="163"/>
      <c r="L34" s="876"/>
      <c r="M34" s="3"/>
    </row>
    <row r="35" spans="1:29">
      <c r="A35" s="3"/>
      <c r="B35" s="331" t="s">
        <v>401</v>
      </c>
      <c r="C35" s="163"/>
      <c r="D35" s="163"/>
      <c r="E35" s="163"/>
      <c r="F35" s="163"/>
      <c r="G35" s="201"/>
      <c r="H35" s="201"/>
      <c r="I35" s="163"/>
      <c r="J35" s="163"/>
      <c r="K35" s="163"/>
      <c r="L35" s="876"/>
      <c r="M35" s="3"/>
    </row>
    <row r="36" spans="1:29">
      <c r="A36" s="3"/>
      <c r="B36" s="319" t="s">
        <v>582</v>
      </c>
      <c r="C36" s="163"/>
      <c r="D36" s="163"/>
      <c r="E36" s="163"/>
      <c r="F36" s="163"/>
      <c r="G36" s="201"/>
      <c r="H36" s="201"/>
      <c r="I36" s="163"/>
      <c r="J36" s="163"/>
      <c r="K36" s="163"/>
      <c r="L36" s="876"/>
      <c r="M36" s="3"/>
      <c r="N36" s="343"/>
    </row>
    <row r="37" spans="1:29" s="165" customFormat="1">
      <c r="A37" s="164"/>
      <c r="B37" s="343" t="s">
        <v>402</v>
      </c>
      <c r="C37" s="343"/>
      <c r="D37" s="343"/>
      <c r="E37" s="343"/>
      <c r="F37" s="343"/>
      <c r="G37" s="343"/>
      <c r="H37" s="343"/>
      <c r="I37" s="343"/>
      <c r="J37" s="343"/>
      <c r="K37" s="343"/>
      <c r="L37" s="878"/>
      <c r="M37" s="343"/>
      <c r="N37" s="343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</row>
    <row r="38" spans="1:29"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878"/>
      <c r="M38" s="343"/>
      <c r="N38" s="343"/>
    </row>
    <row r="39" spans="1:29"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878"/>
      <c r="M39" s="343"/>
      <c r="N39" s="343"/>
    </row>
    <row r="40" spans="1:29">
      <c r="B40" s="343"/>
      <c r="C40" s="343"/>
      <c r="D40" s="343"/>
      <c r="E40" s="343"/>
      <c r="F40" s="343"/>
      <c r="G40" s="343"/>
      <c r="H40" s="343"/>
      <c r="I40" s="343"/>
      <c r="J40" s="343"/>
      <c r="K40" s="343"/>
      <c r="L40" s="878"/>
      <c r="M40" s="343"/>
    </row>
    <row r="53" spans="29:29">
      <c r="AC53" s="187" t="s">
        <v>223</v>
      </c>
    </row>
  </sheetData>
  <mergeCells count="51">
    <mergeCell ref="G29:I29"/>
    <mergeCell ref="B24:D24"/>
    <mergeCell ref="J24:K24"/>
    <mergeCell ref="J29:K29"/>
    <mergeCell ref="J30:K30"/>
    <mergeCell ref="B29:D29"/>
    <mergeCell ref="G24:I24"/>
    <mergeCell ref="G25:I25"/>
    <mergeCell ref="E24:F24"/>
    <mergeCell ref="B30:D30"/>
    <mergeCell ref="E30:F30"/>
    <mergeCell ref="G30:I30"/>
    <mergeCell ref="J25:K25"/>
    <mergeCell ref="E29:F29"/>
    <mergeCell ref="B19:G19"/>
    <mergeCell ref="J19:K19"/>
    <mergeCell ref="I8:I13"/>
    <mergeCell ref="I14:I18"/>
    <mergeCell ref="B17:C17"/>
    <mergeCell ref="G31:I31"/>
    <mergeCell ref="B15:C15"/>
    <mergeCell ref="B25:D25"/>
    <mergeCell ref="L6:L7"/>
    <mergeCell ref="E25:F25"/>
    <mergeCell ref="L8:L13"/>
    <mergeCell ref="B9:D9"/>
    <mergeCell ref="B10:D10"/>
    <mergeCell ref="B11:D11"/>
    <mergeCell ref="B12:D12"/>
    <mergeCell ref="B13:F13"/>
    <mergeCell ref="L14:L18"/>
    <mergeCell ref="B16:C16"/>
    <mergeCell ref="J6:K7"/>
    <mergeCell ref="J14:K18"/>
    <mergeCell ref="H14:H18"/>
    <mergeCell ref="O27:T28"/>
    <mergeCell ref="J2:L2"/>
    <mergeCell ref="J3:K3"/>
    <mergeCell ref="J4:K4"/>
    <mergeCell ref="B6:D7"/>
    <mergeCell ref="E6:G6"/>
    <mergeCell ref="H6:H7"/>
    <mergeCell ref="I6:I7"/>
    <mergeCell ref="O21:T23"/>
    <mergeCell ref="B14:C14"/>
    <mergeCell ref="H2:I3"/>
    <mergeCell ref="B8:D8"/>
    <mergeCell ref="H8:H13"/>
    <mergeCell ref="J8:K13"/>
    <mergeCell ref="H4:I4"/>
    <mergeCell ref="B18:F18"/>
  </mergeCells>
  <phoneticPr fontId="4" type="noConversion"/>
  <dataValidations count="1">
    <dataValidation type="list" allowBlank="1" showInputMessage="1" sqref="B14:C17" xr:uid="{00000000-0002-0000-0700-000000000000}">
      <formula1>"책임감리원,보조감리원,기술지원감리원"</formula1>
    </dataValidation>
  </dataValidations>
  <pageMargins left="0.75" right="0.55000000000000004" top="1" bottom="1" header="0.5" footer="0.5"/>
  <pageSetup paperSize="9" scale="83" fitToHeight="0" orientation="portrait" r:id="rId1"/>
  <headerFooter alignWithMargins="0"/>
  <rowBreaks count="1" manualBreakCount="1">
    <brk id="2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2:Z49"/>
  <sheetViews>
    <sheetView showGridLines="0" view="pageBreakPreview" topLeftCell="A22" zoomScaleNormal="100" zoomScaleSheetLayoutView="100" workbookViewId="0"/>
  </sheetViews>
  <sheetFormatPr defaultRowHeight="16.5"/>
  <cols>
    <col min="1" max="1" width="1.77734375" style="115" customWidth="1"/>
    <col min="2" max="2" width="14.77734375" style="115" customWidth="1"/>
    <col min="3" max="3" width="10.77734375" style="115" customWidth="1"/>
    <col min="4" max="4" width="9.77734375" style="115" customWidth="1"/>
    <col min="5" max="5" width="2.77734375" style="115" customWidth="1"/>
    <col min="6" max="6" width="7.77734375" style="115" customWidth="1"/>
    <col min="7" max="9" width="9.77734375" style="115" customWidth="1"/>
    <col min="10" max="10" width="7" style="115" customWidth="1"/>
    <col min="11" max="11" width="6.33203125" style="115" customWidth="1"/>
    <col min="12" max="12" width="9.109375" style="115" customWidth="1"/>
    <col min="13" max="13" width="9" style="115" customWidth="1"/>
    <col min="14" max="14" width="1.77734375" style="116" customWidth="1"/>
    <col min="15" max="15" width="1.77734375" style="115" customWidth="1"/>
    <col min="16" max="16" width="9.77734375" style="115" customWidth="1"/>
    <col min="17" max="22" width="10" style="115" customWidth="1"/>
    <col min="23" max="24" width="5.77734375" style="115" customWidth="1"/>
    <col min="25" max="26" width="8.88671875" style="115"/>
    <col min="27" max="27" width="1.77734375" style="115" customWidth="1"/>
    <col min="28" max="16384" width="8.88671875" style="115"/>
  </cols>
  <sheetData>
    <row r="2" spans="1:20" s="117" customFormat="1" ht="24.95" customHeight="1" thickBot="1">
      <c r="A2" s="463" t="s">
        <v>209</v>
      </c>
      <c r="B2" s="463"/>
      <c r="L2" s="411"/>
      <c r="M2" s="706"/>
      <c r="N2" s="118"/>
    </row>
    <row r="3" spans="1:20" ht="24.95" customHeight="1" thickBot="1">
      <c r="B3" s="464"/>
      <c r="K3" s="1660" t="s">
        <v>149</v>
      </c>
      <c r="L3" s="1661"/>
      <c r="M3" s="707">
        <f>작성요령!V19</f>
        <v>45292</v>
      </c>
      <c r="P3" s="326"/>
    </row>
    <row r="4" spans="1:20" s="119" customFormat="1" ht="24.95" customHeight="1" thickBot="1">
      <c r="B4" s="464" t="s">
        <v>496</v>
      </c>
      <c r="C4" s="1662"/>
      <c r="D4" s="1662"/>
      <c r="N4" s="120"/>
      <c r="P4" s="214" t="s">
        <v>504</v>
      </c>
      <c r="Q4" s="697"/>
      <c r="R4" s="697"/>
      <c r="S4" s="697"/>
    </row>
    <row r="5" spans="1:20" ht="33.75" customHeight="1" thickBot="1">
      <c r="B5" s="223" t="s">
        <v>71</v>
      </c>
      <c r="C5" s="1666" t="s">
        <v>337</v>
      </c>
      <c r="D5" s="1667"/>
      <c r="E5" s="1668" t="s">
        <v>231</v>
      </c>
      <c r="F5" s="1668"/>
      <c r="G5" s="907" t="s">
        <v>1</v>
      </c>
      <c r="H5" s="224" t="s">
        <v>200</v>
      </c>
      <c r="I5" s="224" t="s">
        <v>201</v>
      </c>
      <c r="J5" s="224" t="s">
        <v>202</v>
      </c>
      <c r="K5" s="907" t="s">
        <v>403</v>
      </c>
      <c r="L5" s="225" t="s">
        <v>77</v>
      </c>
      <c r="M5" s="708" t="s">
        <v>78</v>
      </c>
      <c r="N5" s="121"/>
      <c r="P5" s="698" t="s">
        <v>498</v>
      </c>
      <c r="Q5" s="698" t="s">
        <v>499</v>
      </c>
      <c r="R5" s="699" t="s">
        <v>500</v>
      </c>
      <c r="S5" s="699" t="s">
        <v>501</v>
      </c>
    </row>
    <row r="6" spans="1:20" ht="21.95" customHeight="1" thickTop="1">
      <c r="B6" s="218" t="s">
        <v>26</v>
      </c>
      <c r="C6" s="1669" t="s">
        <v>203</v>
      </c>
      <c r="D6" s="1669"/>
      <c r="E6" s="1670">
        <v>43831</v>
      </c>
      <c r="F6" s="1670"/>
      <c r="G6" s="906"/>
      <c r="H6" s="219" t="str">
        <f>IF(E6&lt;&gt;"",IF($M$3-E6&lt;=365*5,"5년이하",IF($M$3-E6&lt;=365*10,"10년이하",IF($M$3-E6&lt;=365*20,"20년이하","인정불가"))),"")</f>
        <v>5년이하</v>
      </c>
      <c r="I6" s="220">
        <f>IF(H6&lt;&gt;"",IF(H6="5년이하",100%,IF(H6="10년이하",80%,IF(AND(B6="특허",H6="20년이하"),60%,0))),"")</f>
        <v>1</v>
      </c>
      <c r="J6" s="221">
        <v>1</v>
      </c>
      <c r="K6" s="222">
        <f>IF(E6&lt;&gt;"",IF(B6="특허",1,IF(B6="실용실안",0.5,2))*I6/J6,"")</f>
        <v>1</v>
      </c>
      <c r="L6" s="1663">
        <f>K16</f>
        <v>4</v>
      </c>
      <c r="M6" s="902"/>
      <c r="N6" s="124"/>
      <c r="P6" s="698" t="s">
        <v>502</v>
      </c>
      <c r="Q6" s="700">
        <v>1</v>
      </c>
      <c r="R6" s="700">
        <v>0.8</v>
      </c>
      <c r="S6" s="700">
        <v>0.6</v>
      </c>
      <c r="T6" s="472"/>
    </row>
    <row r="7" spans="1:20" ht="21.95" customHeight="1">
      <c r="B7" s="218" t="s">
        <v>26</v>
      </c>
      <c r="C7" s="1650" t="s">
        <v>203</v>
      </c>
      <c r="D7" s="1650"/>
      <c r="E7" s="1671" t="s">
        <v>405</v>
      </c>
      <c r="F7" s="1659"/>
      <c r="G7" s="905"/>
      <c r="H7" s="219" t="str">
        <f>IF(E7&lt;&gt;"",IF($M$3-E7&lt;=365*5,"5년이하",IF($M$3-E7&lt;=365*10,"10년이하",IF($M$3-E7&lt;=365*20,"20년이하","인정불가"))),"")</f>
        <v>10년이하</v>
      </c>
      <c r="I7" s="122">
        <f t="shared" ref="I7:I15" si="0">IF(H7&lt;&gt;"",IF(H7="5년이하",100%,IF(H7="10년이하",80%,IF(AND(B7="특허",H7="20년이하"),60%,0))),"")</f>
        <v>0.8</v>
      </c>
      <c r="J7" s="123">
        <v>2</v>
      </c>
      <c r="K7" s="222">
        <f t="shared" ref="K7:K15" si="1">IF(E7&lt;&gt;"",IF(B7="특허",1,IF(B7="실용실안",0.5,2))*I7/J7,"")</f>
        <v>0.4</v>
      </c>
      <c r="L7" s="1664"/>
      <c r="M7" s="908"/>
      <c r="N7" s="124"/>
      <c r="P7" s="698" t="s">
        <v>96</v>
      </c>
      <c r="Q7" s="700">
        <v>1</v>
      </c>
      <c r="R7" s="700">
        <v>0.8</v>
      </c>
      <c r="S7" s="701" t="s">
        <v>0</v>
      </c>
      <c r="T7" s="472"/>
    </row>
    <row r="8" spans="1:20" ht="21.95" customHeight="1">
      <c r="B8" s="218" t="s">
        <v>26</v>
      </c>
      <c r="C8" s="1650" t="s">
        <v>203</v>
      </c>
      <c r="D8" s="1650"/>
      <c r="E8" s="1651" t="s">
        <v>406</v>
      </c>
      <c r="F8" s="1652"/>
      <c r="G8" s="904"/>
      <c r="H8" s="219" t="str">
        <f>IF(E8&lt;&gt;"",IF($M$3-E8&lt;=365*5,"5년이하",IF($M$3-E8&lt;=365*10,"10년이하",IF($M$3-E8&lt;=365*20,"20년이하","인정불가"))),"")</f>
        <v>20년이하</v>
      </c>
      <c r="I8" s="122">
        <f>IF(H8&lt;&gt;"",IF(H8="5년이하",100%,IF(H8="10년이하",80%,IF(AND(B8="특허",H8="20년이하"),60%,0))),"")</f>
        <v>0.6</v>
      </c>
      <c r="J8" s="123">
        <v>2</v>
      </c>
      <c r="K8" s="222">
        <f t="shared" si="1"/>
        <v>0.3</v>
      </c>
      <c r="L8" s="1664"/>
      <c r="M8" s="908"/>
      <c r="N8" s="124"/>
      <c r="P8" s="698" t="s">
        <v>207</v>
      </c>
      <c r="Q8" s="700">
        <v>1</v>
      </c>
      <c r="R8" s="700">
        <v>0.8</v>
      </c>
      <c r="S8" s="701" t="s">
        <v>0</v>
      </c>
      <c r="T8" s="472"/>
    </row>
    <row r="9" spans="1:20" ht="21.95" customHeight="1">
      <c r="B9" s="218" t="s">
        <v>26</v>
      </c>
      <c r="C9" s="1650" t="s">
        <v>203</v>
      </c>
      <c r="D9" s="1650"/>
      <c r="E9" s="1651" t="s">
        <v>636</v>
      </c>
      <c r="F9" s="1652"/>
      <c r="G9" s="905"/>
      <c r="H9" s="219" t="str">
        <f t="shared" ref="H9:H15" si="2">IF(E9&lt;&gt;"",IF($M$3-E9&lt;=365*5,"5년이하",IF($M$3-E9&lt;=365*10,"10년이하",IF($M$3-E9&lt;=365*20,"20년이하","인정불가"))),"")</f>
        <v>20년이하</v>
      </c>
      <c r="I9" s="122">
        <f t="shared" si="0"/>
        <v>0.6</v>
      </c>
      <c r="J9" s="123">
        <v>1</v>
      </c>
      <c r="K9" s="222">
        <f t="shared" si="1"/>
        <v>0.6</v>
      </c>
      <c r="L9" s="1664"/>
      <c r="M9" s="908"/>
      <c r="N9" s="124"/>
      <c r="P9" s="1620" t="s">
        <v>503</v>
      </c>
      <c r="Q9" s="1620"/>
      <c r="R9" s="1620"/>
      <c r="S9" s="1620"/>
      <c r="T9" s="472"/>
    </row>
    <row r="10" spans="1:20" ht="21.95" customHeight="1">
      <c r="B10" s="218" t="s">
        <v>26</v>
      </c>
      <c r="C10" s="1650" t="s">
        <v>203</v>
      </c>
      <c r="D10" s="1650"/>
      <c r="E10" s="1651" t="s">
        <v>637</v>
      </c>
      <c r="F10" s="1652"/>
      <c r="G10" s="905"/>
      <c r="H10" s="219" t="str">
        <f t="shared" si="2"/>
        <v>10년이하</v>
      </c>
      <c r="I10" s="122">
        <f t="shared" si="0"/>
        <v>0.8</v>
      </c>
      <c r="J10" s="123">
        <v>1</v>
      </c>
      <c r="K10" s="222">
        <f t="shared" si="1"/>
        <v>0.8</v>
      </c>
      <c r="L10" s="1664"/>
      <c r="M10" s="908"/>
      <c r="N10" s="124"/>
      <c r="P10" s="1621"/>
      <c r="Q10" s="1621"/>
      <c r="R10" s="1621"/>
      <c r="S10" s="1621"/>
      <c r="T10" s="472"/>
    </row>
    <row r="11" spans="1:20" ht="21.95" customHeight="1">
      <c r="B11" s="218" t="s">
        <v>26</v>
      </c>
      <c r="C11" s="1650" t="s">
        <v>203</v>
      </c>
      <c r="D11" s="1650"/>
      <c r="E11" s="1651" t="s">
        <v>638</v>
      </c>
      <c r="F11" s="1652"/>
      <c r="G11" s="905"/>
      <c r="H11" s="219" t="str">
        <f t="shared" si="2"/>
        <v>10년이하</v>
      </c>
      <c r="I11" s="122">
        <f t="shared" si="0"/>
        <v>0.8</v>
      </c>
      <c r="J11" s="123">
        <v>1</v>
      </c>
      <c r="K11" s="222">
        <f t="shared" si="1"/>
        <v>0.8</v>
      </c>
      <c r="L11" s="1664"/>
      <c r="M11" s="908"/>
      <c r="N11" s="124"/>
      <c r="T11" s="472"/>
    </row>
    <row r="12" spans="1:20" ht="21.95" customHeight="1">
      <c r="B12" s="218" t="s">
        <v>26</v>
      </c>
      <c r="C12" s="1650" t="s">
        <v>203</v>
      </c>
      <c r="D12" s="1650"/>
      <c r="E12" s="1651" t="s">
        <v>639</v>
      </c>
      <c r="F12" s="1652"/>
      <c r="G12" s="905"/>
      <c r="H12" s="219" t="str">
        <f t="shared" si="2"/>
        <v>10년이하</v>
      </c>
      <c r="I12" s="122">
        <f t="shared" si="0"/>
        <v>0.8</v>
      </c>
      <c r="J12" s="123">
        <v>2</v>
      </c>
      <c r="K12" s="222">
        <f t="shared" si="1"/>
        <v>0.4</v>
      </c>
      <c r="L12" s="1664"/>
      <c r="M12" s="908"/>
      <c r="N12" s="124"/>
    </row>
    <row r="13" spans="1:20" ht="21.95" customHeight="1">
      <c r="B13" s="218" t="s">
        <v>26</v>
      </c>
      <c r="C13" s="1650" t="s">
        <v>203</v>
      </c>
      <c r="D13" s="1650"/>
      <c r="E13" s="1651" t="s">
        <v>640</v>
      </c>
      <c r="F13" s="1652"/>
      <c r="G13" s="905"/>
      <c r="H13" s="219" t="str">
        <f t="shared" si="2"/>
        <v>10년이하</v>
      </c>
      <c r="I13" s="122">
        <f t="shared" si="0"/>
        <v>0.8</v>
      </c>
      <c r="J13" s="123">
        <v>1</v>
      </c>
      <c r="K13" s="222">
        <f t="shared" si="1"/>
        <v>0.8</v>
      </c>
      <c r="L13" s="1664"/>
      <c r="M13" s="908"/>
      <c r="N13" s="124"/>
    </row>
    <row r="14" spans="1:20" ht="21.95" customHeight="1">
      <c r="B14" s="218"/>
      <c r="C14" s="1650"/>
      <c r="D14" s="1650"/>
      <c r="E14" s="1659"/>
      <c r="F14" s="1659"/>
      <c r="G14" s="905"/>
      <c r="H14" s="219" t="str">
        <f t="shared" si="2"/>
        <v/>
      </c>
      <c r="I14" s="122" t="str">
        <f t="shared" si="0"/>
        <v/>
      </c>
      <c r="J14" s="123"/>
      <c r="K14" s="222" t="str">
        <f t="shared" si="1"/>
        <v/>
      </c>
      <c r="L14" s="1664"/>
      <c r="M14" s="908"/>
      <c r="N14" s="124"/>
    </row>
    <row r="15" spans="1:20" ht="21.95" customHeight="1">
      <c r="B15" s="218"/>
      <c r="C15" s="1650"/>
      <c r="D15" s="1650"/>
      <c r="E15" s="1659"/>
      <c r="F15" s="1659"/>
      <c r="G15" s="905"/>
      <c r="H15" s="219" t="str">
        <f t="shared" si="2"/>
        <v/>
      </c>
      <c r="I15" s="122" t="str">
        <f t="shared" si="0"/>
        <v/>
      </c>
      <c r="J15" s="123"/>
      <c r="K15" s="222" t="str">
        <f t="shared" si="1"/>
        <v/>
      </c>
      <c r="L15" s="1664"/>
      <c r="M15" s="908"/>
      <c r="N15" s="124"/>
    </row>
    <row r="16" spans="1:20" ht="21.95" customHeight="1" thickBot="1">
      <c r="B16" s="1642" t="s">
        <v>74</v>
      </c>
      <c r="C16" s="1643"/>
      <c r="D16" s="1643"/>
      <c r="E16" s="1643"/>
      <c r="F16" s="1643"/>
      <c r="G16" s="1643"/>
      <c r="H16" s="1643"/>
      <c r="I16" s="1643"/>
      <c r="J16" s="1644"/>
      <c r="K16" s="462">
        <f>MIN(SUM(K6:K15),4)</f>
        <v>4</v>
      </c>
      <c r="L16" s="1665"/>
      <c r="M16" s="903">
        <f>SUM(M6:M15)</f>
        <v>0</v>
      </c>
      <c r="N16" s="125"/>
    </row>
    <row r="17" spans="2:26" ht="21" customHeight="1">
      <c r="B17" s="1631" t="s">
        <v>264</v>
      </c>
      <c r="C17" s="1624"/>
      <c r="D17" s="1624"/>
      <c r="E17" s="1624"/>
      <c r="F17" s="1624"/>
      <c r="G17" s="1624"/>
      <c r="H17" s="1624"/>
      <c r="I17" s="1624"/>
      <c r="J17" s="1624"/>
      <c r="K17" s="1624"/>
      <c r="L17" s="1624"/>
      <c r="M17" s="1624"/>
      <c r="N17" s="134"/>
      <c r="O17" s="129"/>
      <c r="Q17" s="129"/>
      <c r="R17" s="129"/>
    </row>
    <row r="18" spans="2:26">
      <c r="B18" s="335" t="s">
        <v>265</v>
      </c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</row>
    <row r="19" spans="2:26">
      <c r="B19" s="336" t="s">
        <v>266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</row>
    <row r="20" spans="2:26">
      <c r="B20" s="336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</row>
    <row r="21" spans="2:26" ht="22.5" customHeight="1" thickBot="1">
      <c r="B21" s="464" t="s">
        <v>497</v>
      </c>
      <c r="M21" s="128" t="s">
        <v>204</v>
      </c>
      <c r="N21" s="127"/>
      <c r="P21" s="214" t="s">
        <v>513</v>
      </c>
      <c r="Q21" s="335"/>
      <c r="R21" s="710" t="s">
        <v>523</v>
      </c>
      <c r="S21" s="335"/>
      <c r="T21" s="335"/>
      <c r="U21" s="335"/>
      <c r="V21" s="119"/>
      <c r="W21" s="119"/>
      <c r="X21" s="119"/>
      <c r="Y21" s="119"/>
      <c r="Z21" s="119"/>
    </row>
    <row r="22" spans="2:26" ht="21.75" customHeight="1">
      <c r="B22" s="1625" t="s">
        <v>232</v>
      </c>
      <c r="C22" s="1634" t="s">
        <v>3</v>
      </c>
      <c r="D22" s="1635"/>
      <c r="E22" s="1634" t="s">
        <v>4</v>
      </c>
      <c r="F22" s="1649"/>
      <c r="G22" s="1635"/>
      <c r="H22" s="1634" t="s">
        <v>5</v>
      </c>
      <c r="I22" s="1635"/>
      <c r="J22" s="1638" t="s">
        <v>338</v>
      </c>
      <c r="K22" s="1639"/>
      <c r="L22" s="1632" t="s">
        <v>77</v>
      </c>
      <c r="M22" s="1627" t="s">
        <v>78</v>
      </c>
      <c r="N22" s="121"/>
      <c r="P22" s="1622" t="s">
        <v>97</v>
      </c>
      <c r="Q22" s="1622" t="s">
        <v>505</v>
      </c>
      <c r="R22" s="698" t="s">
        <v>506</v>
      </c>
      <c r="S22" s="698" t="s">
        <v>507</v>
      </c>
      <c r="T22" s="698" t="s">
        <v>508</v>
      </c>
      <c r="U22" s="1622" t="s">
        <v>509</v>
      </c>
    </row>
    <row r="23" spans="2:26" ht="27.75" customHeight="1" thickBot="1">
      <c r="B23" s="1626"/>
      <c r="C23" s="226" t="s">
        <v>208</v>
      </c>
      <c r="D23" s="226" t="s">
        <v>6</v>
      </c>
      <c r="E23" s="1657" t="s">
        <v>208</v>
      </c>
      <c r="F23" s="1658"/>
      <c r="G23" s="711" t="s">
        <v>6</v>
      </c>
      <c r="H23" s="409" t="s">
        <v>208</v>
      </c>
      <c r="I23" s="410" t="s">
        <v>6</v>
      </c>
      <c r="J23" s="1640"/>
      <c r="K23" s="1641"/>
      <c r="L23" s="1633"/>
      <c r="M23" s="1628"/>
      <c r="N23" s="130"/>
      <c r="P23" s="1623"/>
      <c r="Q23" s="1623"/>
      <c r="R23" s="698" t="s">
        <v>510</v>
      </c>
      <c r="S23" s="698" t="s">
        <v>511</v>
      </c>
      <c r="T23" s="698" t="s">
        <v>512</v>
      </c>
      <c r="U23" s="1623"/>
    </row>
    <row r="24" spans="2:26" ht="24.95" customHeight="1" thickTop="1" thickBot="1">
      <c r="B24" s="702" t="str">
        <f>작성요령!V17</f>
        <v>AAAA엔지니어링</v>
      </c>
      <c r="C24" s="703">
        <v>0</v>
      </c>
      <c r="D24" s="703">
        <v>200</v>
      </c>
      <c r="E24" s="1653">
        <v>355</v>
      </c>
      <c r="F24" s="1654"/>
      <c r="G24" s="703">
        <v>9630</v>
      </c>
      <c r="H24" s="704">
        <v>300</v>
      </c>
      <c r="I24" s="704">
        <v>7865</v>
      </c>
      <c r="J24" s="1656">
        <f>SUM((C24+E24+H24)/(D24+G24+I24))</f>
        <v>3.7016106244701891E-2</v>
      </c>
      <c r="K24" s="1656"/>
      <c r="L24" s="705">
        <f>IF(J24&gt;=3%,4,IF(AND(J24&gt;=2.5%,J24&lt;3),3.5,IF(AND(J24&gt;=2%,J24&lt;2.5),3,IF(AND(J24&gt;=1.5%,J24&lt;2),2.5,2))))</f>
        <v>4</v>
      </c>
      <c r="M24" s="909"/>
      <c r="N24" s="124"/>
      <c r="P24" s="698" t="s">
        <v>12</v>
      </c>
      <c r="Q24" s="698">
        <v>4</v>
      </c>
      <c r="R24" s="698">
        <v>3.5</v>
      </c>
      <c r="S24" s="698">
        <v>3</v>
      </c>
      <c r="T24" s="698">
        <v>2.5</v>
      </c>
      <c r="U24" s="698">
        <v>2</v>
      </c>
    </row>
    <row r="25" spans="2:26" ht="21" customHeight="1">
      <c r="B25" s="335" t="s">
        <v>407</v>
      </c>
    </row>
    <row r="26" spans="2:26" ht="21" customHeight="1">
      <c r="B26" s="336" t="s">
        <v>431</v>
      </c>
      <c r="C26" s="852"/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124"/>
      <c r="Q26" s="709"/>
      <c r="R26" s="709"/>
      <c r="S26" s="709"/>
      <c r="T26" s="709"/>
      <c r="U26" s="709"/>
    </row>
    <row r="27" spans="2:26" ht="21" customHeight="1">
      <c r="B27" s="1624" t="s">
        <v>660</v>
      </c>
      <c r="C27" s="1624"/>
      <c r="D27" s="1624"/>
      <c r="E27" s="1624"/>
      <c r="F27" s="1624"/>
      <c r="G27" s="1624"/>
      <c r="H27" s="1624"/>
      <c r="I27" s="1624"/>
      <c r="J27" s="1624"/>
      <c r="K27" s="1624"/>
      <c r="L27" s="1624"/>
      <c r="M27" s="1624"/>
      <c r="N27" s="126"/>
      <c r="T27" s="119"/>
    </row>
    <row r="28" spans="2:26" ht="22.5" customHeight="1" thickBot="1">
      <c r="B28" s="808"/>
      <c r="C28" s="808"/>
      <c r="D28" s="808"/>
      <c r="E28" s="808"/>
      <c r="F28" s="808"/>
      <c r="G28" s="808"/>
      <c r="H28" s="808"/>
      <c r="I28" s="808"/>
      <c r="J28" s="808"/>
      <c r="K28" s="808"/>
      <c r="L28" s="808"/>
      <c r="M28" s="808"/>
      <c r="N28" s="126"/>
      <c r="T28" s="119"/>
    </row>
    <row r="29" spans="2:26" ht="22.5" customHeight="1">
      <c r="B29" s="467" t="s">
        <v>514</v>
      </c>
      <c r="C29" s="391"/>
      <c r="D29" s="391"/>
      <c r="E29" s="391"/>
      <c r="F29" s="391"/>
      <c r="G29" s="391"/>
      <c r="H29" s="391"/>
      <c r="I29" s="391"/>
      <c r="J29" s="1645" t="s">
        <v>229</v>
      </c>
      <c r="K29" s="1646"/>
      <c r="L29" s="1629" t="s">
        <v>404</v>
      </c>
      <c r="M29" s="1630"/>
      <c r="N29" s="126"/>
    </row>
    <row r="30" spans="2:26" ht="17.25">
      <c r="B30" s="117"/>
      <c r="C30" s="391"/>
      <c r="D30" s="391"/>
      <c r="E30" s="391"/>
      <c r="F30" s="391"/>
      <c r="G30" s="391"/>
      <c r="H30" s="391"/>
      <c r="I30" s="391"/>
      <c r="J30" s="1647"/>
      <c r="K30" s="1648"/>
      <c r="L30" s="473" t="s">
        <v>205</v>
      </c>
      <c r="M30" s="631" t="s">
        <v>10</v>
      </c>
      <c r="N30" s="126"/>
      <c r="T30" s="119"/>
    </row>
    <row r="31" spans="2:26" ht="18" thickBot="1">
      <c r="B31" s="117"/>
      <c r="C31" s="391"/>
      <c r="D31" s="391"/>
      <c r="E31" s="391"/>
      <c r="F31" s="391"/>
      <c r="G31" s="391"/>
      <c r="H31" s="391"/>
      <c r="I31" s="391"/>
      <c r="J31" s="1636">
        <f>작성요령!V19</f>
        <v>45292</v>
      </c>
      <c r="K31" s="1637"/>
      <c r="L31" s="474">
        <f xml:space="preserve"> $M$31-365*3</f>
        <v>44196</v>
      </c>
      <c r="M31" s="632">
        <f>J31-1</f>
        <v>45291</v>
      </c>
      <c r="N31" s="126"/>
      <c r="T31" s="119"/>
    </row>
    <row r="32" spans="2:26" ht="22.5" customHeight="1" thickBot="1">
      <c r="C32" s="391"/>
      <c r="D32" s="391"/>
      <c r="E32" s="391"/>
      <c r="F32" s="391"/>
      <c r="G32" s="391"/>
      <c r="H32" s="391"/>
      <c r="I32" s="391"/>
      <c r="J32" s="391"/>
      <c r="K32" s="131"/>
      <c r="L32" s="132"/>
      <c r="M32" s="133"/>
      <c r="N32" s="126"/>
      <c r="T32" s="119"/>
    </row>
    <row r="33" spans="1:26" s="826" customFormat="1" ht="35.25" customHeight="1" thickBot="1">
      <c r="A33" s="326"/>
      <c r="B33" s="1675" t="s">
        <v>641</v>
      </c>
      <c r="C33" s="1666"/>
      <c r="D33" s="1676" t="s">
        <v>642</v>
      </c>
      <c r="E33" s="1676"/>
      <c r="F33" s="1676"/>
      <c r="G33" s="1676" t="s">
        <v>643</v>
      </c>
      <c r="H33" s="1676"/>
      <c r="I33" s="827" t="s">
        <v>644</v>
      </c>
      <c r="J33" s="1677" t="s">
        <v>645</v>
      </c>
      <c r="K33" s="1677"/>
      <c r="L33" s="1616" t="s">
        <v>78</v>
      </c>
      <c r="M33" s="1617"/>
      <c r="N33" s="828"/>
      <c r="P33" s="1655" t="s">
        <v>646</v>
      </c>
      <c r="Q33" s="1655"/>
      <c r="R33" s="1655"/>
      <c r="S33" s="1655"/>
      <c r="T33" s="1655"/>
      <c r="U33" s="1655"/>
    </row>
    <row r="34" spans="1:26" s="826" customFormat="1" ht="24.95" customHeight="1" thickTop="1">
      <c r="A34" s="326"/>
      <c r="B34" s="1681" t="s">
        <v>647</v>
      </c>
      <c r="C34" s="1682"/>
      <c r="D34" s="1612">
        <v>2</v>
      </c>
      <c r="E34" s="1612"/>
      <c r="F34" s="1612"/>
      <c r="G34" s="1683" t="s">
        <v>683</v>
      </c>
      <c r="H34" s="1683"/>
      <c r="I34" s="829">
        <v>2</v>
      </c>
      <c r="J34" s="1684">
        <f>D34/G34*I34</f>
        <v>2</v>
      </c>
      <c r="K34" s="1684"/>
      <c r="L34" s="1685"/>
      <c r="M34" s="1686"/>
      <c r="N34" s="828"/>
      <c r="P34" s="1655"/>
      <c r="Q34" s="1655"/>
      <c r="R34" s="1655"/>
      <c r="S34" s="1655"/>
      <c r="T34" s="1655"/>
      <c r="U34" s="1655"/>
    </row>
    <row r="35" spans="1:26" s="826" customFormat="1" ht="24.95" customHeight="1">
      <c r="A35" s="326"/>
      <c r="B35" s="1687" t="s">
        <v>648</v>
      </c>
      <c r="C35" s="1688"/>
      <c r="D35" s="1689">
        <v>0</v>
      </c>
      <c r="E35" s="1689"/>
      <c r="F35" s="1689"/>
      <c r="G35" s="1689">
        <v>2</v>
      </c>
      <c r="H35" s="1689"/>
      <c r="I35" s="830">
        <v>1</v>
      </c>
      <c r="J35" s="1690">
        <f>D35/G35*I35</f>
        <v>0</v>
      </c>
      <c r="K35" s="1690"/>
      <c r="L35" s="1691"/>
      <c r="M35" s="1692"/>
      <c r="N35" s="828"/>
      <c r="P35" s="1655"/>
      <c r="Q35" s="1655"/>
      <c r="R35" s="1655"/>
      <c r="S35" s="1655"/>
      <c r="T35" s="1655"/>
      <c r="U35" s="1655"/>
    </row>
    <row r="36" spans="1:26" s="326" customFormat="1" ht="24.95" customHeight="1" thickBot="1">
      <c r="B36" s="1672" t="s">
        <v>649</v>
      </c>
      <c r="C36" s="1673"/>
      <c r="D36" s="1674"/>
      <c r="E36" s="1674"/>
      <c r="F36" s="1674"/>
      <c r="G36" s="1674"/>
      <c r="H36" s="1674"/>
      <c r="I36" s="831" t="s">
        <v>650</v>
      </c>
      <c r="J36" s="1678">
        <f>ROUND(MIN(3,SUM(J34:K35)),2)</f>
        <v>2</v>
      </c>
      <c r="K36" s="1678"/>
      <c r="L36" s="1679">
        <f>SUM(L34:M35)</f>
        <v>0</v>
      </c>
      <c r="M36" s="1680"/>
      <c r="N36" s="832"/>
      <c r="P36" s="1655"/>
      <c r="Q36" s="1655"/>
      <c r="R36" s="1655"/>
      <c r="S36" s="1655"/>
      <c r="T36" s="1655"/>
      <c r="U36" s="1655"/>
      <c r="V36" s="826"/>
      <c r="W36" s="826"/>
      <c r="X36" s="826"/>
      <c r="Y36" s="826"/>
      <c r="Z36" s="826"/>
    </row>
    <row r="37" spans="1:26" s="326" customFormat="1" ht="15" customHeight="1">
      <c r="O37" s="833"/>
      <c r="Q37" s="807"/>
      <c r="R37" s="807"/>
      <c r="S37" s="807"/>
      <c r="T37" s="807"/>
      <c r="U37" s="807"/>
      <c r="V37" s="807"/>
    </row>
    <row r="38" spans="1:26" s="326" customFormat="1" ht="22.5" customHeight="1" thickBot="1">
      <c r="B38" s="326" t="s">
        <v>651</v>
      </c>
      <c r="C38" s="834"/>
      <c r="D38" s="834"/>
      <c r="K38" s="835"/>
      <c r="L38" s="836"/>
      <c r="M38" s="837"/>
      <c r="N38" s="853"/>
      <c r="O38" s="838"/>
      <c r="Q38" s="807"/>
      <c r="R38" s="807"/>
      <c r="S38" s="807"/>
      <c r="T38" s="807"/>
      <c r="U38" s="807"/>
      <c r="V38" s="807"/>
    </row>
    <row r="39" spans="1:26" s="326" customFormat="1" ht="20.100000000000001" customHeight="1">
      <c r="B39" s="1693" t="s">
        <v>71</v>
      </c>
      <c r="C39" s="1694"/>
      <c r="D39" s="1610" t="s">
        <v>652</v>
      </c>
      <c r="E39" s="1610"/>
      <c r="F39" s="1610"/>
      <c r="G39" s="1610"/>
      <c r="H39" s="1610" t="s">
        <v>653</v>
      </c>
      <c r="I39" s="1610"/>
      <c r="J39" s="1610" t="s">
        <v>654</v>
      </c>
      <c r="K39" s="1610"/>
      <c r="L39" s="1610"/>
      <c r="M39" s="1618" t="s">
        <v>70</v>
      </c>
      <c r="N39" s="854"/>
      <c r="O39" s="838"/>
      <c r="S39" s="834"/>
    </row>
    <row r="40" spans="1:26" s="326" customFormat="1" ht="20.100000000000001" customHeight="1" thickBot="1">
      <c r="B40" s="1695"/>
      <c r="C40" s="1696"/>
      <c r="D40" s="1611" t="s">
        <v>655</v>
      </c>
      <c r="E40" s="1611"/>
      <c r="F40" s="1611" t="s">
        <v>656</v>
      </c>
      <c r="G40" s="1611"/>
      <c r="H40" s="839" t="s">
        <v>657</v>
      </c>
      <c r="I40" s="840" t="s">
        <v>658</v>
      </c>
      <c r="J40" s="1611"/>
      <c r="K40" s="1611"/>
      <c r="L40" s="1611"/>
      <c r="M40" s="1619"/>
      <c r="N40" s="854"/>
      <c r="O40" s="841"/>
      <c r="S40" s="834"/>
    </row>
    <row r="41" spans="1:26" s="326" customFormat="1" ht="24.95" customHeight="1" thickTop="1">
      <c r="B41" s="1698" t="str">
        <f>'참여감리원 현황'!B8</f>
        <v>책임감리원</v>
      </c>
      <c r="C41" s="1700" t="str">
        <f>'참여감리원 현황'!D8</f>
        <v>이순신</v>
      </c>
      <c r="D41" s="1702">
        <v>44562</v>
      </c>
      <c r="E41" s="1702"/>
      <c r="F41" s="1702">
        <v>44566</v>
      </c>
      <c r="G41" s="1702"/>
      <c r="H41" s="842">
        <v>5</v>
      </c>
      <c r="I41" s="843">
        <v>35</v>
      </c>
      <c r="J41" s="1612" t="s">
        <v>661</v>
      </c>
      <c r="K41" s="1612"/>
      <c r="L41" s="1612"/>
      <c r="M41" s="857" t="str">
        <f>IF(AND($M$31&gt;=$F41,H41&gt;=5),H41/5&amp;"주","인정불가")</f>
        <v>1주</v>
      </c>
      <c r="N41" s="855"/>
      <c r="O41" s="841"/>
      <c r="R41" s="844"/>
    </row>
    <row r="42" spans="1:26" s="326" customFormat="1" ht="24.95" customHeight="1" thickBot="1">
      <c r="B42" s="1699"/>
      <c r="C42" s="1701"/>
      <c r="D42" s="1697">
        <v>45261</v>
      </c>
      <c r="E42" s="1697"/>
      <c r="F42" s="1697">
        <v>45291</v>
      </c>
      <c r="G42" s="1697"/>
      <c r="H42" s="846">
        <v>5</v>
      </c>
      <c r="I42" s="847">
        <v>35</v>
      </c>
      <c r="J42" s="1613" t="s">
        <v>662</v>
      </c>
      <c r="K42" s="1613"/>
      <c r="L42" s="1613"/>
      <c r="M42" s="856" t="str">
        <f t="shared" ref="M42:M48" si="3">IF(AND($M$31&gt;=$F42,H42&gt;=5),H42/5&amp;"주","인정불가")</f>
        <v>1주</v>
      </c>
      <c r="N42" s="855"/>
      <c r="O42" s="841"/>
    </row>
    <row r="43" spans="1:26" s="326" customFormat="1" ht="24.95" customHeight="1">
      <c r="B43" s="1698" t="str">
        <f>'참여감리원 현황'!B9</f>
        <v>보조감리원</v>
      </c>
      <c r="C43" s="1700" t="str">
        <f>'참여감리원 현황'!D9</f>
        <v>-</v>
      </c>
      <c r="D43" s="1702"/>
      <c r="E43" s="1702"/>
      <c r="F43" s="1702"/>
      <c r="G43" s="1702"/>
      <c r="H43" s="842"/>
      <c r="I43" s="843"/>
      <c r="J43" s="1612"/>
      <c r="K43" s="1612"/>
      <c r="L43" s="1612"/>
      <c r="M43" s="857" t="str">
        <f t="shared" si="3"/>
        <v>인정불가</v>
      </c>
      <c r="N43" s="855"/>
      <c r="O43" s="841"/>
    </row>
    <row r="44" spans="1:26" s="326" customFormat="1" ht="21" customHeight="1" thickBot="1">
      <c r="B44" s="1706"/>
      <c r="C44" s="1707"/>
      <c r="D44" s="1705"/>
      <c r="E44" s="1705"/>
      <c r="F44" s="1705"/>
      <c r="G44" s="1705"/>
      <c r="H44" s="858"/>
      <c r="I44" s="859"/>
      <c r="J44" s="1614"/>
      <c r="K44" s="1614"/>
      <c r="L44" s="1614"/>
      <c r="M44" s="860" t="str">
        <f t="shared" si="3"/>
        <v>인정불가</v>
      </c>
      <c r="N44" s="855"/>
      <c r="O44" s="845"/>
      <c r="P44" s="335"/>
    </row>
    <row r="45" spans="1:26" s="326" customFormat="1" ht="24.95" customHeight="1">
      <c r="B45" s="1708" t="str">
        <f>'참여감리원 현황'!B10</f>
        <v>보조감리원</v>
      </c>
      <c r="C45" s="1709" t="str">
        <f>'참여감리원 현황'!D10</f>
        <v>-</v>
      </c>
      <c r="D45" s="1710"/>
      <c r="E45" s="1710"/>
      <c r="F45" s="1710"/>
      <c r="G45" s="1710"/>
      <c r="H45" s="861"/>
      <c r="I45" s="862"/>
      <c r="J45" s="1615"/>
      <c r="K45" s="1615"/>
      <c r="L45" s="1615"/>
      <c r="M45" s="863" t="str">
        <f t="shared" si="3"/>
        <v>인정불가</v>
      </c>
      <c r="N45" s="855"/>
      <c r="O45" s="841"/>
    </row>
    <row r="46" spans="1:26" s="326" customFormat="1" ht="21" customHeight="1" thickBot="1">
      <c r="B46" s="1699"/>
      <c r="C46" s="1701"/>
      <c r="D46" s="1697"/>
      <c r="E46" s="1697"/>
      <c r="F46" s="1697"/>
      <c r="G46" s="1697"/>
      <c r="H46" s="846"/>
      <c r="I46" s="847"/>
      <c r="J46" s="1613"/>
      <c r="K46" s="1613"/>
      <c r="L46" s="1613"/>
      <c r="M46" s="856" t="str">
        <f t="shared" si="3"/>
        <v>인정불가</v>
      </c>
      <c r="N46" s="855"/>
      <c r="O46" s="845"/>
      <c r="P46" s="335"/>
    </row>
    <row r="47" spans="1:26" s="326" customFormat="1" ht="24.95" customHeight="1">
      <c r="B47" s="1698" t="str">
        <f>'참여감리원 현황'!B11</f>
        <v>기술지원감리원</v>
      </c>
      <c r="C47" s="1700" t="str">
        <f>'참여감리원 현황'!D11</f>
        <v>안중근</v>
      </c>
      <c r="D47" s="1702">
        <v>44562</v>
      </c>
      <c r="E47" s="1702"/>
      <c r="F47" s="1702">
        <v>44566</v>
      </c>
      <c r="G47" s="1702"/>
      <c r="H47" s="842">
        <v>5</v>
      </c>
      <c r="I47" s="843">
        <v>35</v>
      </c>
      <c r="J47" s="1612" t="s">
        <v>661</v>
      </c>
      <c r="K47" s="1612"/>
      <c r="L47" s="1612"/>
      <c r="M47" s="857" t="str">
        <f t="shared" si="3"/>
        <v>1주</v>
      </c>
      <c r="N47" s="855"/>
      <c r="O47" s="841"/>
    </row>
    <row r="48" spans="1:26" s="326" customFormat="1" ht="21" customHeight="1" thickBot="1">
      <c r="B48" s="1699"/>
      <c r="C48" s="1701"/>
      <c r="D48" s="1703">
        <v>44927</v>
      </c>
      <c r="E48" s="1704"/>
      <c r="F48" s="1703">
        <v>44933</v>
      </c>
      <c r="G48" s="1704"/>
      <c r="H48" s="846">
        <v>5</v>
      </c>
      <c r="I48" s="847">
        <v>35</v>
      </c>
      <c r="J48" s="1711" t="s">
        <v>662</v>
      </c>
      <c r="K48" s="1712"/>
      <c r="L48" s="1713"/>
      <c r="M48" s="856" t="str">
        <f t="shared" si="3"/>
        <v>1주</v>
      </c>
      <c r="N48" s="855"/>
      <c r="O48" s="845"/>
      <c r="P48" s="335"/>
    </row>
    <row r="49" spans="2:19" s="326" customFormat="1" ht="21" customHeight="1">
      <c r="B49" s="1631" t="s">
        <v>659</v>
      </c>
      <c r="C49" s="1631"/>
      <c r="D49" s="1631"/>
      <c r="E49" s="1631"/>
      <c r="F49" s="1631"/>
      <c r="G49" s="1631"/>
      <c r="H49" s="1631"/>
      <c r="I49" s="1631"/>
      <c r="J49" s="1631"/>
      <c r="K49" s="1631"/>
      <c r="L49" s="1631"/>
      <c r="M49" s="1631"/>
      <c r="N49" s="1631"/>
      <c r="O49" s="845"/>
      <c r="P49" s="335"/>
      <c r="R49" s="335"/>
      <c r="S49" s="335"/>
    </row>
  </sheetData>
  <mergeCells count="106">
    <mergeCell ref="B49:N49"/>
    <mergeCell ref="D48:E48"/>
    <mergeCell ref="F48:G48"/>
    <mergeCell ref="B47:B48"/>
    <mergeCell ref="C47:C48"/>
    <mergeCell ref="D47:E47"/>
    <mergeCell ref="F47:G47"/>
    <mergeCell ref="D44:E44"/>
    <mergeCell ref="F44:G44"/>
    <mergeCell ref="B43:B44"/>
    <mergeCell ref="C43:C44"/>
    <mergeCell ref="D43:E43"/>
    <mergeCell ref="F43:G43"/>
    <mergeCell ref="D46:E46"/>
    <mergeCell ref="F46:G46"/>
    <mergeCell ref="B45:B46"/>
    <mergeCell ref="C45:C46"/>
    <mergeCell ref="D45:E45"/>
    <mergeCell ref="F45:G45"/>
    <mergeCell ref="J48:L48"/>
    <mergeCell ref="B39:C40"/>
    <mergeCell ref="D39:G39"/>
    <mergeCell ref="H39:I39"/>
    <mergeCell ref="D40:E40"/>
    <mergeCell ref="F40:G40"/>
    <mergeCell ref="D42:E42"/>
    <mergeCell ref="F42:G42"/>
    <mergeCell ref="B41:B42"/>
    <mergeCell ref="C41:C42"/>
    <mergeCell ref="D41:E41"/>
    <mergeCell ref="F41:G41"/>
    <mergeCell ref="B36:C36"/>
    <mergeCell ref="D36:F36"/>
    <mergeCell ref="B33:C33"/>
    <mergeCell ref="D33:F33"/>
    <mergeCell ref="G33:H33"/>
    <mergeCell ref="J33:K33"/>
    <mergeCell ref="G36:H36"/>
    <mergeCell ref="J36:K36"/>
    <mergeCell ref="L36:M36"/>
    <mergeCell ref="B34:C34"/>
    <mergeCell ref="D34:F34"/>
    <mergeCell ref="G34:H34"/>
    <mergeCell ref="J34:K34"/>
    <mergeCell ref="L34:M34"/>
    <mergeCell ref="B35:C35"/>
    <mergeCell ref="D35:F35"/>
    <mergeCell ref="G35:H35"/>
    <mergeCell ref="J35:K35"/>
    <mergeCell ref="L35:M35"/>
    <mergeCell ref="P33:U36"/>
    <mergeCell ref="J24:K24"/>
    <mergeCell ref="E23:F23"/>
    <mergeCell ref="E15:F15"/>
    <mergeCell ref="C13:D13"/>
    <mergeCell ref="C9:D9"/>
    <mergeCell ref="E14:F14"/>
    <mergeCell ref="K3:L3"/>
    <mergeCell ref="C4:D4"/>
    <mergeCell ref="E9:F9"/>
    <mergeCell ref="L6:L16"/>
    <mergeCell ref="C7:D7"/>
    <mergeCell ref="C5:D5"/>
    <mergeCell ref="E5:F5"/>
    <mergeCell ref="C6:D6"/>
    <mergeCell ref="E6:F6"/>
    <mergeCell ref="C8:D8"/>
    <mergeCell ref="C10:D10"/>
    <mergeCell ref="C11:D11"/>
    <mergeCell ref="E7:F7"/>
    <mergeCell ref="E10:F10"/>
    <mergeCell ref="E11:F11"/>
    <mergeCell ref="E13:F13"/>
    <mergeCell ref="C12:D12"/>
    <mergeCell ref="J31:K31"/>
    <mergeCell ref="J22:K23"/>
    <mergeCell ref="B16:J16"/>
    <mergeCell ref="H22:I22"/>
    <mergeCell ref="J29:K30"/>
    <mergeCell ref="E22:G22"/>
    <mergeCell ref="C15:D15"/>
    <mergeCell ref="C14:D14"/>
    <mergeCell ref="E8:F8"/>
    <mergeCell ref="E24:F24"/>
    <mergeCell ref="E12:F12"/>
    <mergeCell ref="P9:S10"/>
    <mergeCell ref="P22:P23"/>
    <mergeCell ref="Q22:Q23"/>
    <mergeCell ref="U22:U23"/>
    <mergeCell ref="B27:M27"/>
    <mergeCell ref="B22:B23"/>
    <mergeCell ref="M22:M23"/>
    <mergeCell ref="L29:M29"/>
    <mergeCell ref="B17:M17"/>
    <mergeCell ref="L22:L23"/>
    <mergeCell ref="C22:D22"/>
    <mergeCell ref="J39:L40"/>
    <mergeCell ref="J41:L41"/>
    <mergeCell ref="J42:L42"/>
    <mergeCell ref="J43:L43"/>
    <mergeCell ref="J44:L44"/>
    <mergeCell ref="J45:L45"/>
    <mergeCell ref="J46:L46"/>
    <mergeCell ref="J47:L47"/>
    <mergeCell ref="L33:M33"/>
    <mergeCell ref="M39:M40"/>
  </mergeCells>
  <phoneticPr fontId="4" type="noConversion"/>
  <dataValidations count="2">
    <dataValidation allowBlank="1" showInputMessage="1" sqref="WVR41:WVS48 JF41:JG48 TB41:TC48 ACX41:ACY48 AMT41:AMU48 AWP41:AWQ48 BGL41:BGM48 BQH41:BQI48 CAD41:CAE48 CJZ41:CKA48 CTV41:CTW48 DDR41:DDS48 DNN41:DNO48 DXJ41:DXK48 EHF41:EHG48 ERB41:ERC48 FAX41:FAY48 FKT41:FKU48 FUP41:FUQ48 GEL41:GEM48 GOH41:GOI48 GYD41:GYE48 HHZ41:HIA48 HRV41:HRW48 IBR41:IBS48 ILN41:ILO48 IVJ41:IVK48 JFF41:JFG48 JPB41:JPC48 JYX41:JYY48 KIT41:KIU48 KSP41:KSQ48 LCL41:LCM48 LMH41:LMI48 LWD41:LWE48 MFZ41:MGA48 MPV41:MPW48 MZR41:MZS48 NJN41:NJO48 NTJ41:NTK48 ODF41:ODG48 ONB41:ONC48 OWX41:OWY48 PGT41:PGU48 PQP41:PQQ48 QAL41:QAM48 QKH41:QKI48 QUD41:QUE48 RDZ41:REA48 RNV41:RNW48 RXR41:RXS48 SHN41:SHO48 SRJ41:SRK48 TBF41:TBG48 TLB41:TLC48 TUX41:TUY48 UET41:UEU48 UOP41:UOQ48 UYL41:UYM48 VIH41:VII48 VSD41:VSE48 WBZ41:WCA48 WLV41:WLW48 J41:L48" xr:uid="{00000000-0002-0000-0800-000000000000}"/>
    <dataValidation type="list" allowBlank="1" showInputMessage="1" showErrorMessage="1" sqref="B6:B15" xr:uid="{00000000-0002-0000-0800-000001000000}">
      <formula1>"특허, 실용실안, 신기술 인증"</formula1>
    </dataValidation>
  </dataValidations>
  <pageMargins left="0.87" right="0.6" top="1" bottom="0.71" header="0.5" footer="0.5"/>
  <pageSetup paperSize="9" scale="59" orientation="portrait" r:id="rId1"/>
  <headerFooter alignWithMargins="0"/>
  <rowBreaks count="1" manualBreakCount="1">
    <brk id="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 지정된 범위</vt:lpstr>
      </vt:variant>
      <vt:variant>
        <vt:i4>14</vt:i4>
      </vt:variant>
    </vt:vector>
  </HeadingPairs>
  <TitlesOfParts>
    <vt:vector size="30" baseType="lpstr">
      <vt:lpstr>작성안함_입찰참가자격(5년간_실적집계표)</vt:lpstr>
      <vt:lpstr>작성요령</vt:lpstr>
      <vt:lpstr>참여감리원 현황</vt:lpstr>
      <vt:lpstr>참여신청서</vt:lpstr>
      <vt:lpstr>자기평가서</vt:lpstr>
      <vt:lpstr>참여감리원</vt:lpstr>
      <vt:lpstr>유사용역수행실적</vt:lpstr>
      <vt:lpstr>신용도</vt:lpstr>
      <vt:lpstr>기술개발 및 투자실적</vt:lpstr>
      <vt:lpstr>업무중첩도</vt:lpstr>
      <vt:lpstr>교체빈도</vt:lpstr>
      <vt:lpstr>작업기법</vt:lpstr>
      <vt:lpstr>가감점</vt:lpstr>
      <vt:lpstr>(양식8-1)재정상태건실도</vt:lpstr>
      <vt:lpstr>(별표1)유사용역 인정범위</vt:lpstr>
      <vt:lpstr>(별표2)재정상태검토보고서</vt:lpstr>
      <vt:lpstr>'(양식8-1)재정상태건실도'!Print_Area</vt:lpstr>
      <vt:lpstr>가감점!Print_Area</vt:lpstr>
      <vt:lpstr>교체빈도!Print_Area</vt:lpstr>
      <vt:lpstr>'기술개발 및 투자실적'!Print_Area</vt:lpstr>
      <vt:lpstr>신용도!Print_Area</vt:lpstr>
      <vt:lpstr>업무중첩도!Print_Area</vt:lpstr>
      <vt:lpstr>유사용역수행실적!Print_Area</vt:lpstr>
      <vt:lpstr>자기평가서!Print_Area</vt:lpstr>
      <vt:lpstr>작성요령!Print_Area</vt:lpstr>
      <vt:lpstr>작업기법!Print_Area</vt:lpstr>
      <vt:lpstr>참여감리원!Print_Area</vt:lpstr>
      <vt:lpstr>'참여감리원 현황'!Print_Area</vt:lpstr>
      <vt:lpstr>참여신청서!Print_Area</vt:lpstr>
      <vt:lpstr>자기평가서!Print_Titles</vt:lpstr>
    </vt:vector>
  </TitlesOfParts>
  <Company>대한주택공사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대한주택공사</dc:creator>
  <cp:lastModifiedBy>전수빈</cp:lastModifiedBy>
  <cp:lastPrinted>2024-07-25T01:23:22Z</cp:lastPrinted>
  <dcterms:created xsi:type="dcterms:W3CDTF">2000-09-25T04:51:38Z</dcterms:created>
  <dcterms:modified xsi:type="dcterms:W3CDTF">2025-03-06T00:46:32Z</dcterms:modified>
</cp:coreProperties>
</file>