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6362\Desktop\"/>
    </mc:Choice>
  </mc:AlternateContent>
  <bookViews>
    <workbookView xWindow="0" yWindow="0" windowWidth="28800" windowHeight="12435" tabRatio="914" activeTab="1"/>
  </bookViews>
  <sheets>
    <sheet name="작성요령" sheetId="61" r:id="rId1"/>
    <sheet name="참여업체" sheetId="19" r:id="rId2"/>
    <sheet name="배점기준" sheetId="18" r:id="rId3"/>
    <sheet name="종합" sheetId="132" r:id="rId4"/>
    <sheet name="기술인" sheetId="7" r:id="rId5"/>
    <sheet name="사업책임기술인경력" sheetId="173" r:id="rId6"/>
    <sheet name="사업책임기술인(000)" sheetId="151" r:id="rId7"/>
    <sheet name="도시계획책임(000)" sheetId="152" r:id="rId8"/>
    <sheet name="토질지질책임(000)" sheetId="174" r:id="rId9"/>
    <sheet name="도로공항책임(000)" sheetId="166" r:id="rId10"/>
    <sheet name="토목구조책임(000)" sheetId="170" r:id="rId11"/>
    <sheet name="상하수도분책(000)" sheetId="165" r:id="rId12"/>
    <sheet name="조경분책(000)" sheetId="177" r:id="rId13"/>
    <sheet name="도시계획참여(000)" sheetId="156" r:id="rId14"/>
    <sheet name="토질지질참여(000)" sheetId="167" r:id="rId15"/>
    <sheet name="도로공항참여(000)" sheetId="157" r:id="rId16"/>
    <sheet name="토목구조참여(000)" sheetId="168" r:id="rId17"/>
    <sheet name="상하수도참여(000)" sheetId="163" r:id="rId18"/>
    <sheet name="조경참여(000)" sheetId="178" r:id="rId19"/>
    <sheet name="교육훈련" sheetId="124" r:id="rId20"/>
    <sheet name="전차용역(기술인)" sheetId="125" r:id="rId21"/>
    <sheet name="유사용역" sheetId="9" r:id="rId22"/>
    <sheet name="유사(000)" sheetId="95" r:id="rId23"/>
    <sheet name="유사(0001)" sheetId="148" r:id="rId24"/>
    <sheet name="유사(0002)" sheetId="162" r:id="rId25"/>
    <sheet name="전차용역(업체)" sheetId="81" r:id="rId26"/>
    <sheet name="용역수행성과" sheetId="175" r:id="rId27"/>
    <sheet name="신용도" sheetId="31" r:id="rId28"/>
    <sheet name="부실벌점" sheetId="122" r:id="rId29"/>
    <sheet name="기술투자" sheetId="32" r:id="rId30"/>
    <sheet name="개발(000)" sheetId="171" r:id="rId31"/>
    <sheet name="개발(0001)" sheetId="149" r:id="rId32"/>
    <sheet name="개발(0002)" sheetId="55" r:id="rId33"/>
    <sheet name="활용(000)" sheetId="172" r:id="rId34"/>
    <sheet name="활용(0001)" sheetId="150" r:id="rId35"/>
    <sheet name="활용(0002)" sheetId="56" r:id="rId36"/>
    <sheet name="중소기업 상생발전" sheetId="176" r:id="rId37"/>
    <sheet name="업무중복도" sheetId="129" r:id="rId38"/>
    <sheet name="중첩신고" sheetId="97" r:id="rId39"/>
    <sheet name="가감점" sheetId="36" r:id="rId40"/>
  </sheets>
  <externalReferences>
    <externalReference r:id="rId41"/>
    <externalReference r:id="rId42"/>
  </externalReferences>
  <definedNames>
    <definedName name="_xlnm._FilterDatabase" localSheetId="21" hidden="1">유사용역!$C$3:$H$6</definedName>
    <definedName name="ddd" localSheetId="12">#REF!</definedName>
    <definedName name="ddd" localSheetId="18">#REF!</definedName>
    <definedName name="ddd">#REF!</definedName>
    <definedName name="_xlnm.Print_Area" localSheetId="39">가감점!$A$1:$G$7</definedName>
    <definedName name="_xlnm.Print_Area" localSheetId="30">'개발(000)'!$A$1:$J$16</definedName>
    <definedName name="_xlnm.Print_Area" localSheetId="31">'개발(0001)'!$A$1:$J$14</definedName>
    <definedName name="_xlnm.Print_Area" localSheetId="32">'개발(0002)'!$A$1:$J$14</definedName>
    <definedName name="_xlnm.Print_Area" localSheetId="19">교육훈련!$A$1:$G$18</definedName>
    <definedName name="_xlnm.Print_Area" localSheetId="4">기술인!$A$1:$K$37</definedName>
    <definedName name="_xlnm.Print_Area" localSheetId="29">기술투자!$A$1:$O$28</definedName>
    <definedName name="_xlnm.Print_Area" localSheetId="15">'도로공항참여(000)'!$A$1:$O$8</definedName>
    <definedName name="_xlnm.Print_Area" localSheetId="9">'도로공항책임(000)'!$A$1:$O$8</definedName>
    <definedName name="_xlnm.Print_Area" localSheetId="13">'도시계획참여(000)'!$A$1:$O$8</definedName>
    <definedName name="_xlnm.Print_Area" localSheetId="7">'도시계획책임(000)'!$A$1:$O$8</definedName>
    <definedName name="_xlnm.Print_Area" localSheetId="2">배점기준!$A$1:$I$135</definedName>
    <definedName name="_xlnm.Print_Area" localSheetId="28">부실벌점!$A$1:$F$22</definedName>
    <definedName name="_xlnm.Print_Area" localSheetId="6">'사업책임기술인(000)'!$A$1:$O$12</definedName>
    <definedName name="_xlnm.Print_Area" localSheetId="5">사업책임기술인경력!$A$1:$I$14</definedName>
    <definedName name="_xlnm.Print_Area" localSheetId="11">'상하수도분책(000)'!$A$1:$O$8</definedName>
    <definedName name="_xlnm.Print_Area" localSheetId="17">'상하수도참여(000)'!$A$1:$O$8</definedName>
    <definedName name="_xlnm.Print_Area" localSheetId="27">신용도!$A$1:$L$15</definedName>
    <definedName name="_xlnm.Print_Area" localSheetId="37">업무중복도!$A$1:$Y$16</definedName>
    <definedName name="_xlnm.Print_Area" localSheetId="26">용역수행성과!$A$1:$G$18</definedName>
    <definedName name="_xlnm.Print_Area" localSheetId="22">'유사(000)'!$A$1:$N$10</definedName>
    <definedName name="_xlnm.Print_Area" localSheetId="23">'유사(0001)'!$A$1:$N$8</definedName>
    <definedName name="_xlnm.Print_Area" localSheetId="24">'유사(0002)'!$A$1:$N$10</definedName>
    <definedName name="_xlnm.Print_Area" localSheetId="21">유사용역!$A$1:$H$12</definedName>
    <definedName name="_xlnm.Print_Area" localSheetId="20">'전차용역(기술인)'!$A$1:$H$10</definedName>
    <definedName name="_xlnm.Print_Area" localSheetId="25">'전차용역(업체)'!$B$1:$E$10</definedName>
    <definedName name="_xlnm.Print_Area" localSheetId="12">'조경분책(000)'!$A$1:$O$8</definedName>
    <definedName name="_xlnm.Print_Area" localSheetId="18">'조경참여(000)'!$A$1:$O$8</definedName>
    <definedName name="_xlnm.Print_Area" localSheetId="3">종합!$A$1:$G$34</definedName>
    <definedName name="_xlnm.Print_Area" localSheetId="36">'중소기업 상생발전'!$A$1:$G$14</definedName>
    <definedName name="_xlnm.Print_Area" localSheetId="38">중첩신고!$A$1:$K$140</definedName>
    <definedName name="_xlnm.Print_Area" localSheetId="1">참여업체!$A$1:$F$7</definedName>
    <definedName name="_xlnm.Print_Area" localSheetId="16">'토목구조참여(000)'!$A$1:$O$8</definedName>
    <definedName name="_xlnm.Print_Area" localSheetId="10">'토목구조책임(000)'!$A$1:$O$8</definedName>
    <definedName name="_xlnm.Print_Area" localSheetId="14">'토질지질참여(000)'!$A$1:$O$8</definedName>
    <definedName name="_xlnm.Print_Area" localSheetId="8">'토질지질책임(000)'!$A$1:$O$8</definedName>
    <definedName name="_xlnm.Print_Area" localSheetId="33">'활용(000)'!$A$1:$K$10</definedName>
    <definedName name="_xlnm.Print_Area" localSheetId="34">'활용(0001)'!$A$1:$K$14</definedName>
    <definedName name="_xlnm.Print_Area" localSheetId="35">'활용(0002)'!$A$1:$K$16</definedName>
    <definedName name="_xlnm.Print_Area">#REF!</definedName>
    <definedName name="_xlnm.Print_Titles" localSheetId="31">'개발(0001)'!$2:$2</definedName>
    <definedName name="_xlnm.Print_Titles" localSheetId="32">'개발(0002)'!$2:$2</definedName>
    <definedName name="_xlnm.Print_Titles" localSheetId="19">교육훈련!$3:$3</definedName>
    <definedName name="_xlnm.Print_Titles" localSheetId="15">'도로공항참여(000)'!$1:$5</definedName>
    <definedName name="_xlnm.Print_Titles" localSheetId="13">'도시계획참여(000)'!$1:$1</definedName>
    <definedName name="_xlnm.Print_Titles" localSheetId="7">'도시계획책임(000)'!$1:$5</definedName>
    <definedName name="_xlnm.Print_Titles" localSheetId="22">'유사(000)'!$2:$3</definedName>
    <definedName name="_xlnm.Print_Titles" localSheetId="23">'유사(0001)'!$2:$3</definedName>
    <definedName name="_xlnm.Print_Titles" localSheetId="24">'유사(0002)'!$2:$3</definedName>
    <definedName name="_xlnm.Print_Titles" localSheetId="12">#REF!</definedName>
    <definedName name="_xlnm.Print_Titles" localSheetId="18">#REF!</definedName>
    <definedName name="_xlnm.Print_Titles" localSheetId="16">'토목구조참여(000)'!$1:$5</definedName>
    <definedName name="_xlnm.Print_Titles" localSheetId="14">'토질지질참여(000)'!$1:$1</definedName>
    <definedName name="_xlnm.Print_Titles" localSheetId="33">'활용(000)'!$2:$2</definedName>
    <definedName name="_xlnm.Print_Titles" localSheetId="34">'활용(0001)'!$2:$2</definedName>
    <definedName name="_xlnm.Print_Titles" localSheetId="35">'활용(0002)'!$2:$2</definedName>
    <definedName name="_xlnm.Print_Titles">#REF!</definedName>
    <definedName name="기준">신용도!$P$38</definedName>
    <definedName name="토목구조" localSheetId="12">#REF!</definedName>
    <definedName name="토목구조" localSheetId="18">#REF!</definedName>
    <definedName name="토목구조">#REF!</definedName>
    <definedName name="토목구조1" localSheetId="12">#REF!</definedName>
    <definedName name="토목구조1" localSheetId="18">#REF!</definedName>
    <definedName name="토목구조1">#REF!</definedName>
    <definedName name="회사채">신용도!$C$21:$C$39</definedName>
  </definedNames>
  <calcPr calcId="162913"/>
</workbook>
</file>

<file path=xl/calcChain.xml><?xml version="1.0" encoding="utf-8"?>
<calcChain xmlns="http://schemas.openxmlformats.org/spreadsheetml/2006/main">
  <c r="E28" i="7" l="1"/>
  <c r="F28" i="7"/>
  <c r="G28" i="7"/>
  <c r="H28" i="7"/>
  <c r="I28" i="7"/>
  <c r="J28" i="7"/>
  <c r="J29" i="7"/>
  <c r="L6" i="178"/>
  <c r="N6" i="178" s="1"/>
  <c r="N7" i="178" s="1"/>
  <c r="N8" i="178" s="1"/>
  <c r="J6" i="178"/>
  <c r="E24" i="7"/>
  <c r="F24" i="7"/>
  <c r="G24" i="7"/>
  <c r="H24" i="7"/>
  <c r="I24" i="7"/>
  <c r="J24" i="7"/>
  <c r="J25" i="7" s="1"/>
  <c r="L6" i="177"/>
  <c r="N6" i="177" s="1"/>
  <c r="N7" i="177" s="1"/>
  <c r="N8" i="177" s="1"/>
  <c r="J6" i="177"/>
  <c r="J27" i="7"/>
  <c r="C29" i="132"/>
  <c r="C27" i="132"/>
  <c r="C24" i="132"/>
  <c r="C22" i="132"/>
  <c r="C18" i="132"/>
  <c r="F13" i="132"/>
  <c r="G5" i="36"/>
  <c r="I9" i="18" l="1"/>
  <c r="G16" i="175" l="1"/>
  <c r="G12" i="175"/>
  <c r="G8" i="175"/>
  <c r="B13" i="175"/>
  <c r="B9" i="175"/>
  <c r="B5" i="175"/>
  <c r="G17" i="175" l="1"/>
  <c r="H74" i="18"/>
  <c r="E3" i="18"/>
  <c r="A8" i="151" l="1"/>
  <c r="A9" i="151"/>
  <c r="A10" i="151" s="1"/>
  <c r="K16" i="97"/>
  <c r="F123" i="97"/>
  <c r="F96" i="97"/>
  <c r="F29" i="97"/>
  <c r="F20" i="97"/>
  <c r="F19" i="97"/>
  <c r="F18" i="97"/>
  <c r="N6" i="163" l="1"/>
  <c r="N6" i="167"/>
  <c r="N6" i="156"/>
  <c r="N6" i="165"/>
  <c r="N6" i="170"/>
  <c r="N6" i="166"/>
  <c r="J6" i="163"/>
  <c r="J6" i="168"/>
  <c r="J6" i="157"/>
  <c r="J6" i="167"/>
  <c r="J6" i="156"/>
  <c r="J6" i="165"/>
  <c r="J6" i="170"/>
  <c r="J6" i="166"/>
  <c r="J6" i="174"/>
  <c r="J6" i="152" l="1"/>
  <c r="J6" i="151" l="1"/>
  <c r="G27" i="132" l="1"/>
  <c r="F138" i="97"/>
  <c r="F137" i="97"/>
  <c r="F131" i="97"/>
  <c r="F130" i="97"/>
  <c r="F124" i="97"/>
  <c r="F122" i="97"/>
  <c r="F121" i="97"/>
  <c r="F115" i="97"/>
  <c r="F114" i="97"/>
  <c r="F113" i="97"/>
  <c r="F112" i="97"/>
  <c r="F106" i="97"/>
  <c r="F105" i="97"/>
  <c r="F97" i="97"/>
  <c r="F95" i="97"/>
  <c r="F89" i="97"/>
  <c r="F88" i="97"/>
  <c r="F82" i="97"/>
  <c r="F81" i="97"/>
  <c r="F80" i="97"/>
  <c r="F74" i="97"/>
  <c r="F73" i="97"/>
  <c r="F72" i="97"/>
  <c r="F71" i="97"/>
  <c r="F65" i="97"/>
  <c r="F64" i="97"/>
  <c r="H5" i="129" l="1"/>
  <c r="O5" i="129" s="1"/>
  <c r="V5" i="129" s="1"/>
  <c r="J5" i="129"/>
  <c r="Q5" i="129" s="1"/>
  <c r="X5" i="129" s="1"/>
  <c r="I5" i="129"/>
  <c r="P5" i="129" s="1"/>
  <c r="W5" i="129" s="1"/>
  <c r="G5" i="129"/>
  <c r="N5" i="129" s="1"/>
  <c r="U5" i="129" s="1"/>
  <c r="F5" i="129"/>
  <c r="M5" i="129" s="1"/>
  <c r="T5" i="129" s="1"/>
  <c r="E5" i="129"/>
  <c r="L5" i="129" s="1"/>
  <c r="S5" i="129" s="1"/>
  <c r="D15" i="129" l="1"/>
  <c r="H15" i="129" s="1"/>
  <c r="D14" i="129"/>
  <c r="E14" i="129" s="1"/>
  <c r="D13" i="129"/>
  <c r="H13" i="129" s="1"/>
  <c r="D12" i="129"/>
  <c r="G12" i="129" s="1"/>
  <c r="F13" i="176"/>
  <c r="G28" i="132" s="1"/>
  <c r="J3" i="55"/>
  <c r="J3" i="149"/>
  <c r="H15" i="31"/>
  <c r="H14" i="31"/>
  <c r="H13" i="31"/>
  <c r="G21" i="132"/>
  <c r="L6" i="163"/>
  <c r="L6" i="168"/>
  <c r="N6" i="168" s="1"/>
  <c r="L6" i="157"/>
  <c r="N6" i="157" s="1"/>
  <c r="L6" i="167"/>
  <c r="L6" i="156"/>
  <c r="L6" i="165"/>
  <c r="L6" i="170"/>
  <c r="L6" i="174"/>
  <c r="N6" i="174" s="1"/>
  <c r="L6" i="166"/>
  <c r="L6" i="152"/>
  <c r="N6" i="152" s="1"/>
  <c r="L6" i="151"/>
  <c r="N6" i="151" s="1"/>
  <c r="H5" i="173"/>
  <c r="E5" i="173"/>
  <c r="A13" i="173"/>
  <c r="A12" i="173"/>
  <c r="A11" i="173"/>
  <c r="A10" i="173"/>
  <c r="A9" i="173"/>
  <c r="A8" i="173"/>
  <c r="A7" i="173"/>
  <c r="A6" i="173"/>
  <c r="A5" i="173"/>
  <c r="G14" i="129" l="1"/>
  <c r="H14" i="129"/>
  <c r="H12" i="129"/>
  <c r="F15" i="129"/>
  <c r="E15" i="129"/>
  <c r="F14" i="129"/>
  <c r="E13" i="129"/>
  <c r="F13" i="129"/>
  <c r="G13" i="129"/>
  <c r="F12" i="129"/>
  <c r="G15" i="129"/>
  <c r="E12" i="129"/>
  <c r="H14" i="173"/>
  <c r="E19" i="7" s="1"/>
  <c r="E4" i="9" l="1"/>
  <c r="F21" i="132"/>
  <c r="F19" i="132"/>
  <c r="F18" i="132"/>
  <c r="F17" i="132"/>
  <c r="F16" i="132"/>
  <c r="F15" i="132"/>
  <c r="F14" i="132"/>
  <c r="F12" i="132"/>
  <c r="F11" i="132"/>
  <c r="F10" i="132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D112" i="18"/>
  <c r="D110" i="18"/>
  <c r="C135" i="18"/>
  <c r="F86" i="18" l="1"/>
  <c r="F84" i="18"/>
  <c r="G32" i="18" l="1"/>
  <c r="G24" i="18"/>
  <c r="F24" i="18"/>
  <c r="G31" i="18"/>
  <c r="G23" i="18"/>
  <c r="E18" i="18"/>
  <c r="E24" i="18" s="1"/>
  <c r="J11" i="7" s="1"/>
  <c r="D24" i="18"/>
  <c r="D32" i="18" l="1"/>
  <c r="J8" i="7"/>
  <c r="J21" i="7" s="1"/>
  <c r="D46" i="18"/>
  <c r="D54" i="18"/>
  <c r="J5" i="55"/>
  <c r="J6" i="55" s="1"/>
  <c r="H5" i="55"/>
  <c r="D70" i="18" l="1"/>
  <c r="D62" i="18"/>
  <c r="C6" i="9"/>
  <c r="C9" i="9" s="1"/>
  <c r="C5" i="9"/>
  <c r="C8" i="9" s="1"/>
  <c r="C4" i="9"/>
  <c r="C7" i="9" s="1"/>
  <c r="B8" i="31"/>
  <c r="B7" i="36" s="1"/>
  <c r="B7" i="31"/>
  <c r="B6" i="36" s="1"/>
  <c r="B6" i="31"/>
  <c r="B5" i="36" s="1"/>
  <c r="A7" i="151"/>
  <c r="E9" i="9"/>
  <c r="E8" i="9"/>
  <c r="E7" i="9"/>
  <c r="E5" i="9"/>
  <c r="E6" i="9"/>
  <c r="I28" i="32"/>
  <c r="I27" i="32"/>
  <c r="I26" i="32"/>
  <c r="N6" i="32"/>
  <c r="N7" i="32"/>
  <c r="N8" i="32"/>
  <c r="H7" i="149"/>
  <c r="I7" i="172"/>
  <c r="H7" i="172"/>
  <c r="J7" i="172" s="1"/>
  <c r="H4" i="172"/>
  <c r="I4" i="172"/>
  <c r="H5" i="172"/>
  <c r="I5" i="172"/>
  <c r="H3" i="172"/>
  <c r="I3" i="172"/>
  <c r="J10" i="172"/>
  <c r="G26" i="32" s="1"/>
  <c r="H4" i="150"/>
  <c r="H5" i="150"/>
  <c r="H6" i="150"/>
  <c r="H7" i="150"/>
  <c r="H8" i="150"/>
  <c r="H9" i="150"/>
  <c r="H3" i="150"/>
  <c r="F41" i="97"/>
  <c r="F42" i="97"/>
  <c r="F56" i="97"/>
  <c r="F55" i="97"/>
  <c r="F48" i="97"/>
  <c r="F49" i="97"/>
  <c r="F40" i="97"/>
  <c r="H8" i="97"/>
  <c r="H9" i="97"/>
  <c r="F38" i="97"/>
  <c r="F39" i="97"/>
  <c r="F37" i="97"/>
  <c r="F28" i="97"/>
  <c r="F30" i="97"/>
  <c r="F31" i="97"/>
  <c r="H27" i="97"/>
  <c r="F27" i="97"/>
  <c r="F9" i="97"/>
  <c r="F8" i="97"/>
  <c r="C7" i="36"/>
  <c r="C6" i="36"/>
  <c r="C5" i="36"/>
  <c r="J16" i="171"/>
  <c r="J6" i="32" s="1"/>
  <c r="J14" i="171"/>
  <c r="K6" i="32" s="1"/>
  <c r="J7" i="171"/>
  <c r="J8" i="171"/>
  <c r="H8" i="171"/>
  <c r="H7" i="171"/>
  <c r="J6" i="171"/>
  <c r="G6" i="32" s="1"/>
  <c r="J4" i="171"/>
  <c r="C6" i="32" s="1"/>
  <c r="A1" i="171"/>
  <c r="H13" i="32"/>
  <c r="F16" i="32"/>
  <c r="F17" i="32"/>
  <c r="F18" i="32"/>
  <c r="F21" i="32"/>
  <c r="F20" i="32"/>
  <c r="F19" i="32"/>
  <c r="G14" i="31"/>
  <c r="F14" i="31"/>
  <c r="I14" i="31" s="1"/>
  <c r="I7" i="31"/>
  <c r="I6" i="31"/>
  <c r="J5" i="148"/>
  <c r="L5" i="148" s="1"/>
  <c r="M5" i="148" s="1"/>
  <c r="J6" i="148"/>
  <c r="L6" i="148" s="1"/>
  <c r="M6" i="148" s="1"/>
  <c r="J7" i="148"/>
  <c r="K7" i="148" s="1"/>
  <c r="J4" i="148"/>
  <c r="L4" i="148" s="1"/>
  <c r="M4" i="148" s="1"/>
  <c r="H5" i="95"/>
  <c r="J5" i="95"/>
  <c r="L5" i="95" s="1"/>
  <c r="M5" i="95" s="1"/>
  <c r="H6" i="95"/>
  <c r="J6" i="95" s="1"/>
  <c r="H7" i="95"/>
  <c r="J7" i="95" s="1"/>
  <c r="K7" i="95" s="1"/>
  <c r="H8" i="95"/>
  <c r="J8" i="95" s="1"/>
  <c r="L8" i="95" s="1"/>
  <c r="M8" i="95" s="1"/>
  <c r="J9" i="95"/>
  <c r="L9" i="95" s="1"/>
  <c r="M9" i="95" s="1"/>
  <c r="H4" i="95"/>
  <c r="J4" i="95" s="1"/>
  <c r="A5" i="95"/>
  <c r="A6" i="95" s="1"/>
  <c r="A7" i="95" s="1"/>
  <c r="A8" i="95" s="1"/>
  <c r="A9" i="95" s="1"/>
  <c r="C1" i="162"/>
  <c r="H9" i="162"/>
  <c r="J9" i="162" s="1"/>
  <c r="L9" i="162" s="1"/>
  <c r="M9" i="162" s="1"/>
  <c r="J8" i="162"/>
  <c r="L8" i="162" s="1"/>
  <c r="M8" i="162" s="1"/>
  <c r="K7" i="162"/>
  <c r="J7" i="162"/>
  <c r="L7" i="162" s="1"/>
  <c r="M7" i="162" s="1"/>
  <c r="J6" i="162"/>
  <c r="L6" i="162" s="1"/>
  <c r="M6" i="162" s="1"/>
  <c r="J5" i="162"/>
  <c r="L5" i="162" s="1"/>
  <c r="M5" i="162" s="1"/>
  <c r="J4" i="162"/>
  <c r="L4" i="162" s="1"/>
  <c r="M4" i="162" s="1"/>
  <c r="I9" i="150"/>
  <c r="I8" i="150"/>
  <c r="I7" i="150"/>
  <c r="J7" i="150" s="1"/>
  <c r="I6" i="150"/>
  <c r="J6" i="150" s="1"/>
  <c r="I5" i="150"/>
  <c r="I4" i="150"/>
  <c r="I3" i="150"/>
  <c r="J3" i="150" s="1"/>
  <c r="J7" i="149"/>
  <c r="J8" i="149" s="1"/>
  <c r="F7" i="32" s="1"/>
  <c r="J4" i="149"/>
  <c r="C7" i="32" s="1"/>
  <c r="H3" i="149"/>
  <c r="H3" i="55"/>
  <c r="K54" i="97"/>
  <c r="H49" i="97"/>
  <c r="C1" i="148"/>
  <c r="J14" i="150"/>
  <c r="G27" i="32" s="1"/>
  <c r="J14" i="149"/>
  <c r="J7" i="32" s="1"/>
  <c r="J12" i="149"/>
  <c r="K7" i="32" s="1"/>
  <c r="J10" i="149"/>
  <c r="E7" i="32" s="1"/>
  <c r="J6" i="149"/>
  <c r="G7" i="32" s="1"/>
  <c r="J12" i="150"/>
  <c r="E27" i="32" s="1"/>
  <c r="I6" i="56"/>
  <c r="H6" i="56"/>
  <c r="F21" i="97"/>
  <c r="F17" i="97"/>
  <c r="C1" i="95"/>
  <c r="F30" i="132"/>
  <c r="F29" i="132"/>
  <c r="F26" i="132"/>
  <c r="F25" i="132"/>
  <c r="F24" i="132"/>
  <c r="F23" i="132"/>
  <c r="F22" i="132"/>
  <c r="F20" i="132"/>
  <c r="F7" i="132"/>
  <c r="F6" i="132"/>
  <c r="F5" i="132"/>
  <c r="H3" i="56"/>
  <c r="I3" i="56"/>
  <c r="H4" i="56"/>
  <c r="I4" i="56"/>
  <c r="H5" i="56"/>
  <c r="I5" i="56"/>
  <c r="H7" i="56"/>
  <c r="I7" i="56"/>
  <c r="H8" i="56"/>
  <c r="I8" i="56"/>
  <c r="H9" i="56"/>
  <c r="I9" i="56"/>
  <c r="H10" i="56"/>
  <c r="I10" i="56"/>
  <c r="H11" i="56"/>
  <c r="I11" i="56"/>
  <c r="J14" i="56"/>
  <c r="E28" i="32" s="1"/>
  <c r="J16" i="56"/>
  <c r="G28" i="32" s="1"/>
  <c r="J4" i="55"/>
  <c r="C8" i="32" s="1"/>
  <c r="G8" i="32"/>
  <c r="H7" i="55"/>
  <c r="J7" i="55"/>
  <c r="J10" i="55"/>
  <c r="E8" i="32" s="1"/>
  <c r="J12" i="55"/>
  <c r="K8" i="32" s="1"/>
  <c r="J14" i="55"/>
  <c r="J8" i="32" s="1"/>
  <c r="F13" i="32"/>
  <c r="F14" i="32"/>
  <c r="F15" i="32"/>
  <c r="F5" i="122"/>
  <c r="J6" i="31" s="1"/>
  <c r="F7" i="122"/>
  <c r="J8" i="31" s="1"/>
  <c r="F11" i="122"/>
  <c r="F12" i="122"/>
  <c r="F13" i="122"/>
  <c r="F14" i="122"/>
  <c r="F15" i="122"/>
  <c r="F16" i="122"/>
  <c r="F17" i="122"/>
  <c r="F18" i="122"/>
  <c r="F19" i="122"/>
  <c r="F20" i="122"/>
  <c r="F21" i="122"/>
  <c r="B13" i="31"/>
  <c r="B5" i="122" s="1"/>
  <c r="B6" i="32" s="1"/>
  <c r="E6" i="31"/>
  <c r="F6" i="31"/>
  <c r="B15" i="31"/>
  <c r="E8" i="31"/>
  <c r="F8" i="31"/>
  <c r="I8" i="31"/>
  <c r="F13" i="31"/>
  <c r="I13" i="31" s="1"/>
  <c r="G13" i="31"/>
  <c r="F15" i="31"/>
  <c r="G15" i="31"/>
  <c r="I15" i="31" s="1"/>
  <c r="F11" i="9"/>
  <c r="G20" i="132" s="1"/>
  <c r="G6" i="7"/>
  <c r="G7" i="7"/>
  <c r="H36" i="7"/>
  <c r="G17" i="132" s="1"/>
  <c r="F34" i="7"/>
  <c r="G16" i="132" s="1"/>
  <c r="G5" i="18"/>
  <c r="G7" i="18" s="1"/>
  <c r="D9" i="18"/>
  <c r="G8" i="18"/>
  <c r="E12" i="18"/>
  <c r="E14" i="18"/>
  <c r="F14" i="18"/>
  <c r="G14" i="18"/>
  <c r="H14" i="18"/>
  <c r="I14" i="18"/>
  <c r="E16" i="18"/>
  <c r="F16" i="18"/>
  <c r="G16" i="18"/>
  <c r="H16" i="18"/>
  <c r="I16" i="18"/>
  <c r="E21" i="18"/>
  <c r="G11" i="7" s="1"/>
  <c r="E19" i="18"/>
  <c r="E11" i="7" s="1"/>
  <c r="F20" i="18"/>
  <c r="G22" i="18"/>
  <c r="D19" i="18"/>
  <c r="D41" i="18" s="1"/>
  <c r="D20" i="18"/>
  <c r="D28" i="18" s="1"/>
  <c r="E20" i="18"/>
  <c r="F11" i="7"/>
  <c r="D21" i="18"/>
  <c r="G8" i="7" s="1"/>
  <c r="G21" i="7" s="1"/>
  <c r="D22" i="18"/>
  <c r="D52" i="18" s="1"/>
  <c r="E22" i="18"/>
  <c r="H11" i="7" s="1"/>
  <c r="D23" i="18"/>
  <c r="E23" i="18"/>
  <c r="I11" i="7" s="1"/>
  <c r="E26" i="18"/>
  <c r="F26" i="18"/>
  <c r="F31" i="18"/>
  <c r="G27" i="18"/>
  <c r="G30" i="18"/>
  <c r="E34" i="18"/>
  <c r="F34" i="18"/>
  <c r="G34" i="18"/>
  <c r="H34" i="18"/>
  <c r="I34" i="18"/>
  <c r="E36" i="18"/>
  <c r="F36" i="18"/>
  <c r="G36" i="18"/>
  <c r="H36" i="18"/>
  <c r="I36" i="18"/>
  <c r="E40" i="18"/>
  <c r="F40" i="18"/>
  <c r="G40" i="18"/>
  <c r="H40" i="18"/>
  <c r="I40" i="18"/>
  <c r="E48" i="18"/>
  <c r="F48" i="18"/>
  <c r="F52" i="18"/>
  <c r="G48" i="18"/>
  <c r="G49" i="18" s="1"/>
  <c r="H48" i="18"/>
  <c r="I48" i="18"/>
  <c r="D49" i="18"/>
  <c r="E56" i="18"/>
  <c r="F56" i="18"/>
  <c r="F60" i="18"/>
  <c r="G56" i="18"/>
  <c r="H56" i="18"/>
  <c r="H58" i="18" s="1"/>
  <c r="I56" i="18"/>
  <c r="E64" i="18"/>
  <c r="F64" i="18"/>
  <c r="F68" i="18" s="1"/>
  <c r="G64" i="18"/>
  <c r="G67" i="18" s="1"/>
  <c r="H64" i="18"/>
  <c r="I64" i="18"/>
  <c r="E74" i="18"/>
  <c r="F74" i="18"/>
  <c r="G74" i="18"/>
  <c r="D78" i="18"/>
  <c r="E78" i="18"/>
  <c r="F78" i="18"/>
  <c r="G78" i="18"/>
  <c r="H78" i="18"/>
  <c r="I78" i="18"/>
  <c r="E92" i="18"/>
  <c r="E99" i="18"/>
  <c r="E113" i="18"/>
  <c r="H43" i="18"/>
  <c r="E53" i="18"/>
  <c r="E51" i="18"/>
  <c r="G28" i="18"/>
  <c r="F23" i="18"/>
  <c r="G29" i="18"/>
  <c r="F61" i="18"/>
  <c r="D44" i="18"/>
  <c r="D30" i="18"/>
  <c r="D60" i="18" s="1"/>
  <c r="L6" i="32"/>
  <c r="G19" i="32"/>
  <c r="F19" i="18"/>
  <c r="O23" i="19"/>
  <c r="E8" i="7" l="1"/>
  <c r="E21" i="7" s="1"/>
  <c r="D29" i="18"/>
  <c r="D67" i="18" s="1"/>
  <c r="D116" i="18" s="1"/>
  <c r="D121" i="18" s="1"/>
  <c r="D126" i="18" s="1"/>
  <c r="G65" i="18"/>
  <c r="H37" i="97"/>
  <c r="H123" i="97"/>
  <c r="H29" i="97"/>
  <c r="H19" i="97"/>
  <c r="H20" i="97"/>
  <c r="H18" i="97"/>
  <c r="H96" i="97"/>
  <c r="H17" i="97"/>
  <c r="H26" i="32"/>
  <c r="J3" i="172"/>
  <c r="J4" i="172"/>
  <c r="H57" i="18"/>
  <c r="H62" i="18"/>
  <c r="G52" i="18"/>
  <c r="G54" i="18"/>
  <c r="E42" i="18"/>
  <c r="F23" i="7" s="1"/>
  <c r="E46" i="18"/>
  <c r="J23" i="7" s="1"/>
  <c r="K9" i="7"/>
  <c r="G6" i="132" s="1"/>
  <c r="F51" i="18"/>
  <c r="F54" i="18"/>
  <c r="F19" i="7"/>
  <c r="G10" i="132" s="1"/>
  <c r="K9" i="162"/>
  <c r="K9" i="95"/>
  <c r="E58" i="18"/>
  <c r="F27" i="7" s="1"/>
  <c r="E62" i="18"/>
  <c r="I45" i="18"/>
  <c r="I46" i="18"/>
  <c r="H59" i="18"/>
  <c r="G50" i="18"/>
  <c r="F69" i="18"/>
  <c r="F70" i="18"/>
  <c r="G61" i="18"/>
  <c r="G62" i="18"/>
  <c r="D53" i="18"/>
  <c r="D45" i="18"/>
  <c r="H60" i="18"/>
  <c r="G51" i="18"/>
  <c r="E43" i="18"/>
  <c r="G23" i="7" s="1"/>
  <c r="I67" i="18"/>
  <c r="I70" i="18"/>
  <c r="E68" i="18"/>
  <c r="E70" i="18"/>
  <c r="I51" i="18"/>
  <c r="I54" i="18"/>
  <c r="G43" i="18"/>
  <c r="G46" i="18"/>
  <c r="I8" i="7"/>
  <c r="I21" i="7" s="1"/>
  <c r="E41" i="18"/>
  <c r="E23" i="7" s="1"/>
  <c r="E45" i="18"/>
  <c r="I23" i="7" s="1"/>
  <c r="H68" i="18"/>
  <c r="H70" i="18"/>
  <c r="I58" i="18"/>
  <c r="I62" i="18"/>
  <c r="F57" i="18"/>
  <c r="F62" i="18"/>
  <c r="H53" i="18"/>
  <c r="H54" i="18"/>
  <c r="E52" i="18"/>
  <c r="E54" i="18"/>
  <c r="F41" i="18"/>
  <c r="F46" i="18"/>
  <c r="J10" i="56"/>
  <c r="J6" i="56"/>
  <c r="G33" i="132"/>
  <c r="G66" i="18"/>
  <c r="G70" i="18"/>
  <c r="G5" i="7"/>
  <c r="G5" i="132" s="1"/>
  <c r="J5" i="150"/>
  <c r="E44" i="18"/>
  <c r="H23" i="7" s="1"/>
  <c r="H45" i="18"/>
  <c r="H46" i="18"/>
  <c r="H130" i="97"/>
  <c r="H115" i="97"/>
  <c r="H106" i="97"/>
  <c r="H138" i="97"/>
  <c r="H139" i="97" s="1"/>
  <c r="W6" i="129" s="1"/>
  <c r="W7" i="129" s="1"/>
  <c r="W9" i="129" s="1"/>
  <c r="H124" i="97"/>
  <c r="H114" i="97"/>
  <c r="H105" i="97"/>
  <c r="H122" i="97"/>
  <c r="H113" i="97"/>
  <c r="H131" i="97"/>
  <c r="H121" i="97"/>
  <c r="H112" i="97"/>
  <c r="K94" i="97"/>
  <c r="K63" i="97"/>
  <c r="H38" i="97"/>
  <c r="H65" i="97"/>
  <c r="H82" i="97"/>
  <c r="H73" i="97"/>
  <c r="H64" i="97"/>
  <c r="H80" i="97"/>
  <c r="H97" i="97"/>
  <c r="H98" i="97" s="1"/>
  <c r="P6" i="129" s="1"/>
  <c r="P7" i="129" s="1"/>
  <c r="P9" i="129" s="1"/>
  <c r="H74" i="97"/>
  <c r="H89" i="97"/>
  <c r="H81" i="97"/>
  <c r="H72" i="97"/>
  <c r="H88" i="97"/>
  <c r="H71" i="97"/>
  <c r="K13" i="31"/>
  <c r="G23" i="132" s="1"/>
  <c r="F30" i="18"/>
  <c r="F32" i="18"/>
  <c r="I60" i="18"/>
  <c r="D43" i="18"/>
  <c r="I57" i="18"/>
  <c r="F67" i="18"/>
  <c r="H8" i="7"/>
  <c r="H21" i="7" s="1"/>
  <c r="I52" i="18"/>
  <c r="E29" i="18"/>
  <c r="G14" i="7" s="1"/>
  <c r="E32" i="18"/>
  <c r="J14" i="7" s="1"/>
  <c r="F65" i="18"/>
  <c r="D51" i="18"/>
  <c r="F66" i="18"/>
  <c r="D31" i="18"/>
  <c r="D69" i="18" s="1"/>
  <c r="D118" i="18" s="1"/>
  <c r="D123" i="18" s="1"/>
  <c r="D128" i="18" s="1"/>
  <c r="G42" i="18"/>
  <c r="H44" i="18"/>
  <c r="G9" i="18"/>
  <c r="G6" i="31"/>
  <c r="I69" i="18"/>
  <c r="I66" i="18"/>
  <c r="I68" i="18"/>
  <c r="G58" i="18"/>
  <c r="F59" i="18"/>
  <c r="F49" i="18"/>
  <c r="I53" i="18"/>
  <c r="G53" i="18"/>
  <c r="E50" i="18"/>
  <c r="F53" i="18"/>
  <c r="G45" i="18"/>
  <c r="F43" i="18"/>
  <c r="I41" i="18"/>
  <c r="H41" i="18"/>
  <c r="G8" i="31"/>
  <c r="F29" i="18"/>
  <c r="F28" i="18"/>
  <c r="C5" i="132"/>
  <c r="G20" i="18"/>
  <c r="G19" i="18"/>
  <c r="G21" i="18"/>
  <c r="F22" i="122"/>
  <c r="K6" i="31" s="1"/>
  <c r="C10" i="132"/>
  <c r="D66" i="18"/>
  <c r="D115" i="18" s="1"/>
  <c r="D120" i="18" s="1"/>
  <c r="D125" i="18" s="1"/>
  <c r="D58" i="18"/>
  <c r="B26" i="32"/>
  <c r="C1" i="171"/>
  <c r="B13" i="32"/>
  <c r="E27" i="18"/>
  <c r="E14" i="7" s="1"/>
  <c r="I43" i="18"/>
  <c r="G60" i="18"/>
  <c r="E49" i="18"/>
  <c r="E66" i="18"/>
  <c r="F21" i="18"/>
  <c r="E69" i="18"/>
  <c r="H65" i="18"/>
  <c r="H52" i="18"/>
  <c r="G57" i="18"/>
  <c r="I50" i="18"/>
  <c r="K5" i="162"/>
  <c r="B7" i="122"/>
  <c r="B8" i="32" s="1"/>
  <c r="H51" i="18"/>
  <c r="H21" i="97"/>
  <c r="G16" i="32"/>
  <c r="H31" i="97"/>
  <c r="H40" i="97"/>
  <c r="E65" i="18"/>
  <c r="F22" i="18"/>
  <c r="E67" i="18"/>
  <c r="I49" i="18"/>
  <c r="D59" i="18"/>
  <c r="D50" i="18"/>
  <c r="H50" i="18"/>
  <c r="D42" i="18"/>
  <c r="H30" i="97"/>
  <c r="H39" i="97"/>
  <c r="F42" i="18"/>
  <c r="I42" i="18"/>
  <c r="F45" i="18"/>
  <c r="H66" i="18"/>
  <c r="G59" i="18"/>
  <c r="H49" i="18"/>
  <c r="F50" i="18"/>
  <c r="H67" i="18"/>
  <c r="I59" i="18"/>
  <c r="I61" i="18"/>
  <c r="F8" i="7"/>
  <c r="F21" i="7" s="1"/>
  <c r="F27" i="18"/>
  <c r="K36" i="97"/>
  <c r="K26" i="97"/>
  <c r="B14" i="31"/>
  <c r="B6" i="122" s="1"/>
  <c r="B7" i="32" s="1"/>
  <c r="H56" i="97"/>
  <c r="H57" i="97" s="1"/>
  <c r="I6" i="129" s="1"/>
  <c r="I7" i="129" s="1"/>
  <c r="I9" i="129" s="1"/>
  <c r="J9" i="150"/>
  <c r="G13" i="32"/>
  <c r="K47" i="97"/>
  <c r="H10" i="97"/>
  <c r="J5" i="172"/>
  <c r="J6" i="172" s="1"/>
  <c r="C26" i="32" s="1"/>
  <c r="J8" i="172"/>
  <c r="E26" i="32" s="1"/>
  <c r="F26" i="32" s="1"/>
  <c r="L8" i="32"/>
  <c r="M6" i="32" s="1"/>
  <c r="J12" i="171"/>
  <c r="E6" i="32" s="1"/>
  <c r="J9" i="171"/>
  <c r="F6" i="32" s="1"/>
  <c r="K4" i="162"/>
  <c r="K6" i="162"/>
  <c r="K8" i="162"/>
  <c r="L6" i="95"/>
  <c r="M6" i="95" s="1"/>
  <c r="K6" i="95"/>
  <c r="L4" i="95"/>
  <c r="M4" i="95" s="1"/>
  <c r="K4" i="95"/>
  <c r="K8" i="95"/>
  <c r="L7" i="32"/>
  <c r="D68" i="18"/>
  <c r="D117" i="18" s="1"/>
  <c r="D122" i="18" s="1"/>
  <c r="D127" i="18" s="1"/>
  <c r="H61" i="18"/>
  <c r="G68" i="18"/>
  <c r="F44" i="18"/>
  <c r="F58" i="18"/>
  <c r="I65" i="18"/>
  <c r="H69" i="18"/>
  <c r="E59" i="18"/>
  <c r="G27" i="7" s="1"/>
  <c r="G44" i="18"/>
  <c r="E60" i="18"/>
  <c r="H27" i="7" s="1"/>
  <c r="E61" i="18"/>
  <c r="I27" i="7" s="1"/>
  <c r="G41" i="18"/>
  <c r="E57" i="18"/>
  <c r="E27" i="7" s="1"/>
  <c r="I44" i="18"/>
  <c r="H42" i="18"/>
  <c r="E30" i="18"/>
  <c r="H14" i="7" s="1"/>
  <c r="E28" i="18"/>
  <c r="F14" i="7" s="1"/>
  <c r="J11" i="56"/>
  <c r="J9" i="56"/>
  <c r="J7" i="56"/>
  <c r="J4" i="56"/>
  <c r="H7" i="32"/>
  <c r="J8" i="55"/>
  <c r="F8" i="32" s="1"/>
  <c r="G69" i="18"/>
  <c r="E31" i="18"/>
  <c r="I14" i="7" s="1"/>
  <c r="D27" i="18"/>
  <c r="H8" i="32"/>
  <c r="J8" i="56"/>
  <c r="J5" i="56"/>
  <c r="J3" i="56"/>
  <c r="D6" i="32"/>
  <c r="J8" i="150"/>
  <c r="J4" i="150"/>
  <c r="K5" i="95"/>
  <c r="K4" i="148"/>
  <c r="K5" i="148"/>
  <c r="H28" i="97"/>
  <c r="H48" i="97"/>
  <c r="H50" i="97" s="1"/>
  <c r="H6" i="129" s="1"/>
  <c r="H7" i="129" s="1"/>
  <c r="H9" i="129" s="1"/>
  <c r="L7" i="148"/>
  <c r="M7" i="148" s="1"/>
  <c r="K6" i="148"/>
  <c r="L7" i="95"/>
  <c r="M7" i="95" s="1"/>
  <c r="K26" i="7" l="1"/>
  <c r="H22" i="97"/>
  <c r="E6" i="129" s="1"/>
  <c r="E7" i="129" s="1"/>
  <c r="E9" i="129" s="1"/>
  <c r="K22" i="7"/>
  <c r="G11" i="132" s="1"/>
  <c r="K12" i="7"/>
  <c r="H83" i="97"/>
  <c r="N6" i="129" s="1"/>
  <c r="N7" i="129" s="1"/>
  <c r="N9" i="129" s="1"/>
  <c r="D61" i="18"/>
  <c r="N7" i="174"/>
  <c r="N8" i="174" s="1"/>
  <c r="F25" i="7" s="1"/>
  <c r="N7" i="163"/>
  <c r="N8" i="163" s="1"/>
  <c r="I29" i="7" s="1"/>
  <c r="N7" i="167"/>
  <c r="N8" i="167" s="1"/>
  <c r="F29" i="7" s="1"/>
  <c r="N7" i="157"/>
  <c r="N8" i="157" s="1"/>
  <c r="G29" i="7" s="1"/>
  <c r="N7" i="166"/>
  <c r="N8" i="166" s="1"/>
  <c r="G25" i="7" s="1"/>
  <c r="N7" i="168"/>
  <c r="N8" i="168" s="1"/>
  <c r="H29" i="7" s="1"/>
  <c r="N7" i="156"/>
  <c r="N8" i="156" s="1"/>
  <c r="E29" i="7" s="1"/>
  <c r="N7" i="152"/>
  <c r="N8" i="152" s="1"/>
  <c r="E25" i="7" s="1"/>
  <c r="N7" i="165"/>
  <c r="N8" i="165" s="1"/>
  <c r="I25" i="7" s="1"/>
  <c r="N7" i="170"/>
  <c r="N8" i="170" s="1"/>
  <c r="H25" i="7" s="1"/>
  <c r="H107" i="97"/>
  <c r="S6" i="129" s="1"/>
  <c r="S7" i="129" s="1"/>
  <c r="S9" i="129" s="1"/>
  <c r="K104" i="97"/>
  <c r="K136" i="97"/>
  <c r="H43" i="97"/>
  <c r="G6" i="129" s="1"/>
  <c r="G7" i="129" s="1"/>
  <c r="G9" i="129" s="1"/>
  <c r="H125" i="97"/>
  <c r="U6" i="129" s="1"/>
  <c r="U7" i="129" s="1"/>
  <c r="U9" i="129" s="1"/>
  <c r="H116" i="97"/>
  <c r="T6" i="129" s="1"/>
  <c r="T7" i="129" s="1"/>
  <c r="T9" i="129" s="1"/>
  <c r="H132" i="97"/>
  <c r="V6" i="129" s="1"/>
  <c r="V7" i="129" s="1"/>
  <c r="V9" i="129" s="1"/>
  <c r="H90" i="97"/>
  <c r="O6" i="129" s="1"/>
  <c r="O7" i="129" s="1"/>
  <c r="O9" i="129" s="1"/>
  <c r="H75" i="97"/>
  <c r="M6" i="129" s="1"/>
  <c r="M7" i="129" s="1"/>
  <c r="M9" i="129" s="1"/>
  <c r="H32" i="97"/>
  <c r="F6" i="129" s="1"/>
  <c r="F7" i="129" s="1"/>
  <c r="F9" i="129" s="1"/>
  <c r="K79" i="97"/>
  <c r="K87" i="97"/>
  <c r="K70" i="97"/>
  <c r="D6" i="129"/>
  <c r="D7" i="129" s="1"/>
  <c r="D9" i="129" s="1"/>
  <c r="G29" i="132" s="1"/>
  <c r="H66" i="97"/>
  <c r="L6" i="129" s="1"/>
  <c r="L7" i="129" s="1"/>
  <c r="L9" i="129" s="1"/>
  <c r="L6" i="31"/>
  <c r="G22" i="132" s="1"/>
  <c r="J10" i="150"/>
  <c r="C27" i="32" s="1"/>
  <c r="C34" i="132"/>
  <c r="J12" i="56"/>
  <c r="C28" i="32" s="1"/>
  <c r="C1" i="149"/>
  <c r="B27" i="32"/>
  <c r="B16" i="32"/>
  <c r="I13" i="32"/>
  <c r="J13" i="32" s="1"/>
  <c r="G25" i="132" s="1"/>
  <c r="C1" i="55"/>
  <c r="B28" i="32"/>
  <c r="B19" i="32"/>
  <c r="H6" i="32"/>
  <c r="I6" i="32" s="1"/>
  <c r="O6" i="32" s="1"/>
  <c r="G24" i="132" s="1"/>
  <c r="M10" i="162"/>
  <c r="D6" i="9" s="1"/>
  <c r="M8" i="148"/>
  <c r="D5" i="9" s="1"/>
  <c r="M10" i="95"/>
  <c r="D4" i="9" s="1"/>
  <c r="N11" i="151"/>
  <c r="N12" i="151" s="1"/>
  <c r="E20" i="7" s="1"/>
  <c r="F20" i="7" s="1"/>
  <c r="G13" i="132" s="1"/>
  <c r="G7" i="132"/>
  <c r="G12" i="132"/>
  <c r="K8" i="148"/>
  <c r="D8" i="9" s="1"/>
  <c r="K10" i="162"/>
  <c r="D9" i="9" s="1"/>
  <c r="D65" i="18"/>
  <c r="D114" i="18" s="1"/>
  <c r="D119" i="18" s="1"/>
  <c r="D124" i="18" s="1"/>
  <c r="D57" i="18"/>
  <c r="K10" i="95"/>
  <c r="D7" i="9" s="1"/>
  <c r="F4" i="9" l="1"/>
  <c r="Y9" i="129"/>
  <c r="G32" i="132" s="1"/>
  <c r="D26" i="32"/>
  <c r="J26" i="32" s="1"/>
  <c r="G26" i="132" s="1"/>
  <c r="R9" i="129"/>
  <c r="G31" i="132" s="1"/>
  <c r="K9" i="129"/>
  <c r="G30" i="132" s="1"/>
  <c r="K129" i="97"/>
  <c r="K111" i="97"/>
  <c r="K120" i="97"/>
  <c r="K28" i="7"/>
  <c r="G15" i="132" s="1"/>
  <c r="K24" i="7"/>
  <c r="G14" i="132" s="1"/>
  <c r="H4" i="9"/>
  <c r="F7" i="9"/>
  <c r="G7" i="9" l="1"/>
  <c r="H7" i="9" s="1"/>
  <c r="G19" i="132" s="1"/>
  <c r="G18" i="132"/>
  <c r="G34" i="132" l="1"/>
</calcChain>
</file>

<file path=xl/sharedStrings.xml><?xml version="1.0" encoding="utf-8"?>
<sst xmlns="http://schemas.openxmlformats.org/spreadsheetml/2006/main" count="1899" uniqueCount="769">
  <si>
    <t>발주청에서 직접 자체설계한 실적은 감독관리건수에 포함하여 작성합니다.</t>
    <phoneticPr fontId="3" type="noConversion"/>
  </si>
  <si>
    <t>용역중지기간은 용역기간 및 참여기간에 포함시키지 않습니다.</t>
    <phoneticPr fontId="3" type="noConversion"/>
  </si>
  <si>
    <t>토질지질 책임</t>
    <phoneticPr fontId="2" type="noConversion"/>
  </si>
  <si>
    <t>도로및공항 책임</t>
    <phoneticPr fontId="2" type="noConversion"/>
  </si>
  <si>
    <t>토목구조 책임</t>
    <phoneticPr fontId="2" type="noConversion"/>
  </si>
  <si>
    <t>상하수도 책임</t>
    <phoneticPr fontId="2" type="noConversion"/>
  </si>
  <si>
    <t>도시계획 참여</t>
    <phoneticPr fontId="2" type="noConversion"/>
  </si>
  <si>
    <t>토질지질 참여</t>
    <phoneticPr fontId="2" type="noConversion"/>
  </si>
  <si>
    <t>토목구조 참여</t>
    <phoneticPr fontId="2" type="noConversion"/>
  </si>
  <si>
    <t>도로공항 참여</t>
    <phoneticPr fontId="2" type="noConversion"/>
  </si>
  <si>
    <t xml:space="preserve">근거법:산업입지및개발에
 관한법률
면적:687,896㎡
위치:파주시교하읍문발리,
 산남리,신촌리,서패리일원
기본설계보완:68,871,000원
기본및실시설계:554,906,000원
토질조사:183,381,000원
조경기본계획:16,082,000원
교통영향평가:82,181,000원
재해영향평가:82,742,000원
현황측량:130,900,000원
배수펌프장기본및실시설계:
 584,320,000원
유량조정조기본및실시설계:
 31,410,720원
진입도로기본및실시설계:
 120,297,100원
개발계획및실시계획.인허가:
 83,725,180
</t>
    <phoneticPr fontId="17" type="noConversion"/>
  </si>
  <si>
    <t>평택오성 지방산업단지 조성사업 조사설계 용역</t>
  </si>
  <si>
    <t>참여분야</t>
    <phoneticPr fontId="2" type="noConversion"/>
  </si>
  <si>
    <t>부실벌점 내용</t>
    <phoneticPr fontId="2" type="noConversion"/>
  </si>
  <si>
    <t>성명</t>
    <phoneticPr fontId="2" type="noConversion"/>
  </si>
  <si>
    <t>번호</t>
    <phoneticPr fontId="3" type="noConversion"/>
  </si>
  <si>
    <t>참여용역명</t>
    <phoneticPr fontId="2" type="noConversion"/>
  </si>
  <si>
    <t>사업개요</t>
    <phoneticPr fontId="3" type="noConversion"/>
  </si>
  <si>
    <t>용역기간</t>
    <phoneticPr fontId="3" type="noConversion"/>
  </si>
  <si>
    <t>비고</t>
    <phoneticPr fontId="3" type="noConversion"/>
  </si>
  <si>
    <t>소계</t>
    <phoneticPr fontId="3" type="noConversion"/>
  </si>
  <si>
    <t xml:space="preserve"> - 설계업체 근무실적 양식</t>
    <phoneticPr fontId="3" type="noConversion"/>
  </si>
  <si>
    <t>용역기간</t>
    <phoneticPr fontId="2" type="noConversion"/>
  </si>
  <si>
    <t>용역참여기간</t>
    <phoneticPr fontId="3" type="noConversion"/>
  </si>
  <si>
    <t>참여
 전문분야</t>
    <phoneticPr fontId="3" type="noConversion"/>
  </si>
  <si>
    <t>적용
건수</t>
    <phoneticPr fontId="3" type="noConversion"/>
  </si>
  <si>
    <t>용역
착수일</t>
    <phoneticPr fontId="3" type="noConversion"/>
  </si>
  <si>
    <t>참여
개시일</t>
    <phoneticPr fontId="3" type="noConversion"/>
  </si>
  <si>
    <t>참여
종료일</t>
    <phoneticPr fontId="3" type="noConversion"/>
  </si>
  <si>
    <t>참여기간
(일)</t>
    <phoneticPr fontId="3" type="noConversion"/>
  </si>
  <si>
    <t>총계</t>
    <phoneticPr fontId="3" type="noConversion"/>
  </si>
  <si>
    <t>참여용역명</t>
    <phoneticPr fontId="2" type="noConversion"/>
  </si>
  <si>
    <t>사업개요</t>
    <phoneticPr fontId="3" type="noConversion"/>
  </si>
  <si>
    <t>용역기간</t>
    <phoneticPr fontId="3" type="noConversion"/>
  </si>
  <si>
    <t>용역
계약일</t>
    <phoneticPr fontId="3" type="noConversion"/>
  </si>
  <si>
    <t>용역
준공일</t>
    <phoneticPr fontId="3" type="noConversion"/>
  </si>
  <si>
    <t>실적제외금액(백만원)</t>
    <phoneticPr fontId="3" type="noConversion"/>
  </si>
  <si>
    <t>실적금액에 따른 건수인정기준은 공동도급비율 적용 전의 금액을 기준으로 산정하며, 건수산정 후 공동도급비율을 반영합니다.</t>
    <phoneticPr fontId="3" type="noConversion"/>
  </si>
  <si>
    <t>발주청이 발행한 실적증명서나 계약서 사본(원본대조필)으로 하되 참여기술자, 용역수행기간, 준공금액 및 공동도급업체수가 확인될 수 있어야 합니다.</t>
    <phoneticPr fontId="3" type="noConversion"/>
  </si>
  <si>
    <t>설계·시공일괄입찰 또는 대안입찰방식으로 참여하여 낙찰자 및 설계보상대상자로 지정된 경우에는 해당 발주기관이 발급한 증명서를 첨부하되 해당입찰의 낙찰금액이 확인될 수 있어야 합니다.</t>
    <phoneticPr fontId="3" type="noConversion"/>
  </si>
  <si>
    <t>기입란이 부족한 경우 행 삽입,삭제가 가능하며, 행삽입,삭제시 실적이 합계에서 누락되지 않도록 반드시 확인(유사용역 시트) 주의해야 합니다</t>
    <phoneticPr fontId="3" type="noConversion"/>
  </si>
  <si>
    <t>실적금액
(백만원)</t>
    <phoneticPr fontId="3" type="noConversion"/>
  </si>
  <si>
    <t>합계</t>
    <phoneticPr fontId="3" type="noConversion"/>
  </si>
  <si>
    <t xml:space="preserve"> 업무중첩도 (10점)</t>
    <phoneticPr fontId="2" type="noConversion"/>
  </si>
  <si>
    <t>참여용역</t>
    <phoneticPr fontId="2" type="noConversion"/>
  </si>
  <si>
    <t>용역중지일</t>
    <phoneticPr fontId="3" type="noConversion"/>
  </si>
  <si>
    <t>중지사유</t>
    <phoneticPr fontId="3" type="noConversion"/>
  </si>
  <si>
    <t>용역계약일</t>
    <phoneticPr fontId="3" type="noConversion"/>
  </si>
  <si>
    <t>용역준공일</t>
    <phoneticPr fontId="3" type="noConversion"/>
  </si>
  <si>
    <t>합    계</t>
    <phoneticPr fontId="3" type="noConversion"/>
  </si>
  <si>
    <t>계약금액
(백만원)</t>
    <phoneticPr fontId="3" type="noConversion"/>
  </si>
  <si>
    <t>적용금액
(백만원)</t>
    <phoneticPr fontId="3" type="noConversion"/>
  </si>
  <si>
    <t>개발실적</t>
    <phoneticPr fontId="3" type="noConversion"/>
  </si>
  <si>
    <t>재정상태건실도 평가는 유효기간내의 회사채,기업어음,기업신용 중 한가지만 입력하면 됩니다.</t>
    <phoneticPr fontId="3" type="noConversion"/>
  </si>
  <si>
    <t>업체명</t>
    <phoneticPr fontId="2" type="noConversion"/>
  </si>
  <si>
    <t>평가</t>
    <phoneticPr fontId="2" type="noConversion"/>
  </si>
  <si>
    <t>부실벌점</t>
    <phoneticPr fontId="2" type="noConversion"/>
  </si>
  <si>
    <t>업체</t>
    <phoneticPr fontId="2" type="noConversion"/>
  </si>
  <si>
    <t>세부항목</t>
    <phoneticPr fontId="2" type="noConversion"/>
  </si>
  <si>
    <t>점수</t>
    <phoneticPr fontId="2" type="noConversion"/>
  </si>
  <si>
    <t>비율</t>
    <phoneticPr fontId="2" type="noConversion"/>
  </si>
  <si>
    <t>기준</t>
    <phoneticPr fontId="2" type="noConversion"/>
  </si>
  <si>
    <t>투자실적</t>
    <phoneticPr fontId="2" type="noConversion"/>
  </si>
  <si>
    <t>구분</t>
    <phoneticPr fontId="2" type="noConversion"/>
  </si>
  <si>
    <t>총 계</t>
    <phoneticPr fontId="2" type="noConversion"/>
  </si>
  <si>
    <t>등급</t>
    <phoneticPr fontId="2" type="noConversion"/>
  </si>
  <si>
    <t>특급</t>
    <phoneticPr fontId="2" type="noConversion"/>
  </si>
  <si>
    <t>고급</t>
    <phoneticPr fontId="2" type="noConversion"/>
  </si>
  <si>
    <t>중급</t>
    <phoneticPr fontId="2" type="noConversion"/>
  </si>
  <si>
    <t>경력</t>
    <phoneticPr fontId="2" type="noConversion"/>
  </si>
  <si>
    <t>실적</t>
    <phoneticPr fontId="2" type="noConversion"/>
  </si>
  <si>
    <t>신용도</t>
    <phoneticPr fontId="2" type="noConversion"/>
  </si>
  <si>
    <t>실용신안</t>
    <phoneticPr fontId="2" type="noConversion"/>
  </si>
  <si>
    <t>지분율</t>
    <phoneticPr fontId="2" type="noConversion"/>
  </si>
  <si>
    <t>1순위</t>
    <phoneticPr fontId="2" type="noConversion"/>
  </si>
  <si>
    <t>2순위</t>
  </si>
  <si>
    <t>3순위</t>
  </si>
  <si>
    <t>4순위</t>
  </si>
  <si>
    <t>5순위</t>
  </si>
  <si>
    <t>1. 등급</t>
    <phoneticPr fontId="2" type="noConversion"/>
  </si>
  <si>
    <t>2. 경력</t>
    <phoneticPr fontId="2" type="noConversion"/>
  </si>
  <si>
    <t>최소점수 =0</t>
    <phoneticPr fontId="2" type="noConversion"/>
  </si>
  <si>
    <t>5년미만</t>
    <phoneticPr fontId="2" type="noConversion"/>
  </si>
  <si>
    <t>소계</t>
    <phoneticPr fontId="2" type="noConversion"/>
  </si>
  <si>
    <t>5~10년</t>
    <phoneticPr fontId="2" type="noConversion"/>
  </si>
  <si>
    <t>10~20년</t>
    <phoneticPr fontId="2" type="noConversion"/>
  </si>
  <si>
    <t>신기술</t>
    <phoneticPr fontId="2" type="noConversion"/>
  </si>
  <si>
    <t>건수</t>
    <phoneticPr fontId="2" type="noConversion"/>
  </si>
  <si>
    <t>2주이상</t>
    <phoneticPr fontId="2" type="noConversion"/>
  </si>
  <si>
    <t>감점</t>
    <phoneticPr fontId="2" type="noConversion"/>
  </si>
  <si>
    <t>입찰참가제한</t>
    <phoneticPr fontId="2" type="noConversion"/>
  </si>
  <si>
    <t>기술자격정지
또는 업무정지</t>
    <phoneticPr fontId="2" type="noConversion"/>
  </si>
  <si>
    <t>기술개발 및 투자실적</t>
    <phoneticPr fontId="2" type="noConversion"/>
  </si>
  <si>
    <t>개발실적</t>
    <phoneticPr fontId="2" type="noConversion"/>
  </si>
  <si>
    <t>특허</t>
    <phoneticPr fontId="2" type="noConversion"/>
  </si>
  <si>
    <t>기간</t>
    <phoneticPr fontId="2" type="noConversion"/>
  </si>
  <si>
    <t>업무중첩도</t>
    <phoneticPr fontId="2" type="noConversion"/>
  </si>
  <si>
    <t>가감점</t>
    <phoneticPr fontId="2" type="noConversion"/>
  </si>
  <si>
    <t>교육훈련</t>
    <phoneticPr fontId="2" type="noConversion"/>
  </si>
  <si>
    <t>최근3년간(백만원)</t>
    <phoneticPr fontId="2" type="noConversion"/>
  </si>
  <si>
    <t>□ 입찰참가제한 및 업무정지(7점)</t>
    <phoneticPr fontId="2" type="noConversion"/>
  </si>
  <si>
    <t>최우수</t>
    <phoneticPr fontId="2" type="noConversion"/>
  </si>
  <si>
    <t>미제출</t>
    <phoneticPr fontId="2" type="noConversion"/>
  </si>
  <si>
    <t>우수</t>
    <phoneticPr fontId="2" type="noConversion"/>
  </si>
  <si>
    <t>보통</t>
    <phoneticPr fontId="2" type="noConversion"/>
  </si>
  <si>
    <t>미흡</t>
    <phoneticPr fontId="2" type="noConversion"/>
  </si>
  <si>
    <t>불량</t>
    <phoneticPr fontId="2" type="noConversion"/>
  </si>
  <si>
    <t>투자금액</t>
    <phoneticPr fontId="2" type="noConversion"/>
  </si>
  <si>
    <t>건설매출</t>
    <phoneticPr fontId="2" type="noConversion"/>
  </si>
  <si>
    <t>특      허</t>
    <phoneticPr fontId="2" type="noConversion"/>
  </si>
  <si>
    <t>개월</t>
    <phoneticPr fontId="2" type="noConversion"/>
  </si>
  <si>
    <t>재정상태건실도</t>
    <phoneticPr fontId="2" type="noConversion"/>
  </si>
  <si>
    <t>C이하</t>
    <phoneticPr fontId="2" type="noConversion"/>
  </si>
  <si>
    <t>회사채</t>
    <phoneticPr fontId="2" type="noConversion"/>
  </si>
  <si>
    <t>기업어음</t>
    <phoneticPr fontId="2" type="noConversion"/>
  </si>
  <si>
    <t>기업신용</t>
    <phoneticPr fontId="2" type="noConversion"/>
  </si>
  <si>
    <t>AAA</t>
  </si>
  <si>
    <t>A1</t>
  </si>
  <si>
    <t>A2+</t>
  </si>
  <si>
    <t>A20</t>
  </si>
  <si>
    <t>A2-</t>
  </si>
  <si>
    <t>A+</t>
  </si>
  <si>
    <t>A3+</t>
  </si>
  <si>
    <t>A0</t>
  </si>
  <si>
    <t>A30</t>
  </si>
  <si>
    <t>A-</t>
  </si>
  <si>
    <t>A3-</t>
  </si>
  <si>
    <t>BBB+</t>
  </si>
  <si>
    <t>B+</t>
  </si>
  <si>
    <t>BBB0</t>
  </si>
  <si>
    <t>B0</t>
  </si>
  <si>
    <t>BBB-</t>
  </si>
  <si>
    <t>B-</t>
  </si>
  <si>
    <t>C 이하</t>
  </si>
  <si>
    <t>BB-</t>
  </si>
  <si>
    <t>CCC+ 이하</t>
  </si>
  <si>
    <t>AA+</t>
    <phoneticPr fontId="2" type="noConversion"/>
  </si>
  <si>
    <t>AA0</t>
    <phoneticPr fontId="2" type="noConversion"/>
  </si>
  <si>
    <t>AA-</t>
    <phoneticPr fontId="2" type="noConversion"/>
  </si>
  <si>
    <t>BB+</t>
    <phoneticPr fontId="2" type="noConversion"/>
  </si>
  <si>
    <t>BB0</t>
    <phoneticPr fontId="2" type="noConversion"/>
  </si>
  <si>
    <t>B+</t>
    <phoneticPr fontId="2" type="noConversion"/>
  </si>
  <si>
    <t>B0</t>
    <phoneticPr fontId="2" type="noConversion"/>
  </si>
  <si>
    <t>B-</t>
    <phoneticPr fontId="2" type="noConversion"/>
  </si>
  <si>
    <t>건수</t>
  </si>
  <si>
    <t>가중치</t>
    <phoneticPr fontId="2" type="noConversion"/>
  </si>
  <si>
    <t xml:space="preserve">  * 활용실적에 따른 가중치는 활용건수, 활용금액 중 하나의 조건을 만족하면 인정</t>
    <phoneticPr fontId="2" type="noConversion"/>
  </si>
  <si>
    <t>3.실적</t>
    <phoneticPr fontId="2" type="noConversion"/>
  </si>
  <si>
    <t>유사용역(회사)</t>
    <phoneticPr fontId="2" type="noConversion"/>
  </si>
  <si>
    <t>A3+미만B-이상</t>
    <phoneticPr fontId="2" type="noConversion"/>
  </si>
  <si>
    <t>정지기간(일)</t>
    <phoneticPr fontId="2" type="noConversion"/>
  </si>
  <si>
    <t>비율평균</t>
    <phoneticPr fontId="2" type="noConversion"/>
  </si>
  <si>
    <t>적용</t>
    <phoneticPr fontId="2" type="noConversion"/>
  </si>
  <si>
    <t>항목</t>
    <phoneticPr fontId="2" type="noConversion"/>
  </si>
  <si>
    <t>비고</t>
    <phoneticPr fontId="2" type="noConversion"/>
  </si>
  <si>
    <t>항      목</t>
    <phoneticPr fontId="2" type="noConversion"/>
  </si>
  <si>
    <t>분야1</t>
    <phoneticPr fontId="2" type="noConversion"/>
  </si>
  <si>
    <t>분야2</t>
    <phoneticPr fontId="2" type="noConversion"/>
  </si>
  <si>
    <t>분야3</t>
    <phoneticPr fontId="2" type="noConversion"/>
  </si>
  <si>
    <t>분야4</t>
    <phoneticPr fontId="2" type="noConversion"/>
  </si>
  <si>
    <t>분야5</t>
    <phoneticPr fontId="2" type="noConversion"/>
  </si>
  <si>
    <t>1. 건수</t>
    <phoneticPr fontId="2" type="noConversion"/>
  </si>
  <si>
    <t>2. 금액</t>
    <phoneticPr fontId="2" type="noConversion"/>
  </si>
  <si>
    <t>CCC+ 이하</t>
    <phoneticPr fontId="2" type="noConversion"/>
  </si>
  <si>
    <t>활용실적</t>
    <phoneticPr fontId="2" type="noConversion"/>
  </si>
  <si>
    <t>활용건수(건)</t>
    <phoneticPr fontId="2" type="noConversion"/>
  </si>
  <si>
    <t>활용금액(억원)</t>
    <phoneticPr fontId="2" type="noConversion"/>
  </si>
  <si>
    <t>1주이상</t>
    <phoneticPr fontId="2" type="noConversion"/>
  </si>
  <si>
    <t>□ 재정상태 건실도- 신용평가등급(3점)</t>
    <phoneticPr fontId="2" type="noConversion"/>
  </si>
  <si>
    <t>업체별</t>
    <phoneticPr fontId="2" type="noConversion"/>
  </si>
  <si>
    <t>□ 개발실적(2점)</t>
    <phoneticPr fontId="2" type="noConversion"/>
  </si>
  <si>
    <t>□ 활용실적(3점)</t>
    <phoneticPr fontId="2" type="noConversion"/>
  </si>
  <si>
    <t>배점</t>
    <phoneticPr fontId="2" type="noConversion"/>
  </si>
  <si>
    <t>1. 기술자 평가</t>
    <phoneticPr fontId="2" type="noConversion"/>
  </si>
  <si>
    <t>2. 유사용역 수행실적(15점)</t>
    <phoneticPr fontId="2" type="noConversion"/>
  </si>
  <si>
    <t>번호</t>
    <phoneticPr fontId="3" type="noConversion"/>
  </si>
  <si>
    <t>비고</t>
    <phoneticPr fontId="3" type="noConversion"/>
  </si>
  <si>
    <t>종류</t>
  </si>
  <si>
    <t>번호</t>
  </si>
  <si>
    <t>기술명</t>
  </si>
  <si>
    <t>경과기간</t>
  </si>
  <si>
    <t>유효기간</t>
  </si>
  <si>
    <t>최초출원인</t>
    <phoneticPr fontId="3" type="noConversion"/>
  </si>
  <si>
    <t>출원
인수</t>
    <phoneticPr fontId="3" type="noConversion"/>
  </si>
  <si>
    <t>신기술 소계</t>
    <phoneticPr fontId="3" type="noConversion"/>
  </si>
  <si>
    <t>지정(출원)일</t>
    <phoneticPr fontId="3" type="noConversion"/>
  </si>
  <si>
    <t>실용신안</t>
    <phoneticPr fontId="3" type="noConversion"/>
  </si>
  <si>
    <t xml:space="preserve"> 특허 20년미만 소계</t>
    <phoneticPr fontId="3" type="noConversion"/>
  </si>
  <si>
    <t>특허 10년미만 소계</t>
    <phoneticPr fontId="3" type="noConversion"/>
  </si>
  <si>
    <t>금액
가중치</t>
    <phoneticPr fontId="3" type="noConversion"/>
  </si>
  <si>
    <t>건수
가중치</t>
    <phoneticPr fontId="3" type="noConversion"/>
  </si>
  <si>
    <t>실적
건수</t>
    <phoneticPr fontId="3" type="noConversion"/>
  </si>
  <si>
    <t>번호</t>
    <phoneticPr fontId="3" type="noConversion"/>
  </si>
  <si>
    <t>비고</t>
    <phoneticPr fontId="3" type="noConversion"/>
  </si>
  <si>
    <t>3. 신용도(10점)</t>
    <phoneticPr fontId="2" type="noConversion"/>
  </si>
  <si>
    <t>4. 기술개발 및 투자실적(15점)</t>
    <phoneticPr fontId="2" type="noConversion"/>
  </si>
  <si>
    <t>6. 가감점</t>
    <phoneticPr fontId="2" type="noConversion"/>
  </si>
  <si>
    <t>회사채</t>
    <phoneticPr fontId="2" type="noConversion"/>
  </si>
  <si>
    <t xml:space="preserve">            란을 직접입력합니다. </t>
    <phoneticPr fontId="3" type="noConversion"/>
  </si>
  <si>
    <t>기술개요</t>
    <phoneticPr fontId="3" type="noConversion"/>
  </si>
  <si>
    <t xml:space="preserve"> 회사채(또는 기업어음)에 대한 신용평가등급 및 기업신용평가에 따른 평점이 다른 경우에는 높은 평점으로 평가하며, 등급확인서를 제출하지 않은 경우에는 0점으로 평가합니다.</t>
    <phoneticPr fontId="2" type="noConversion"/>
  </si>
  <si>
    <t>     </t>
    <phoneticPr fontId="2" type="noConversion"/>
  </si>
  <si>
    <t>증빙서류는 공인회계사 또는 세무사가 증명한 최근 3회계년 투자실적입니다.</t>
    <phoneticPr fontId="3" type="noConversion"/>
  </si>
  <si>
    <t>(단, 투자실적에서 R&amp;D사업 참여실적에 적용된 실적금액은 제외)</t>
    <phoneticPr fontId="3" type="noConversion"/>
  </si>
  <si>
    <t>주) 1.</t>
    <phoneticPr fontId="3" type="noConversion"/>
  </si>
  <si>
    <t>전차용역명</t>
  </si>
  <si>
    <t>계약금액</t>
  </si>
  <si>
    <t>성명</t>
  </si>
  <si>
    <t xml:space="preserve">해당 전차용역 현황을 기재하시기 바랍니다. </t>
    <phoneticPr fontId="3" type="noConversion"/>
  </si>
  <si>
    <t xml:space="preserve">전차용역수행 현황 </t>
    <phoneticPr fontId="2" type="noConversion"/>
  </si>
  <si>
    <t>1. 점수입력시              색으로 표시된 부분에 입력하도록 하고, 산식으로 계산된 부분은 입력하지 않습니다.</t>
    <phoneticPr fontId="2" type="noConversion"/>
  </si>
  <si>
    <t>년도별</t>
    <phoneticPr fontId="2" type="noConversion"/>
  </si>
  <si>
    <t>용역계약서사본, 참여기술자명단 등 현재 수행중인 용역현황을 파악할 수 있는 증빙서류를 첨부합니다.</t>
    <phoneticPr fontId="3" type="noConversion"/>
  </si>
  <si>
    <t>종류</t>
    <phoneticPr fontId="3" type="noConversion"/>
  </si>
  <si>
    <t>기술명</t>
    <phoneticPr fontId="2" type="noConversion"/>
  </si>
  <si>
    <t>경과기간
가중치</t>
    <phoneticPr fontId="3" type="noConversion"/>
  </si>
  <si>
    <t>실적
금액
(백만원)</t>
    <phoneticPr fontId="3" type="noConversion"/>
  </si>
  <si>
    <t>점수</t>
    <phoneticPr fontId="3" type="noConversion"/>
  </si>
  <si>
    <t>신기술</t>
    <phoneticPr fontId="3" type="noConversion"/>
  </si>
  <si>
    <t>특허</t>
    <phoneticPr fontId="3" type="noConversion"/>
  </si>
  <si>
    <t>특허 소계</t>
    <phoneticPr fontId="3" type="noConversion"/>
  </si>
  <si>
    <t>실용신안 소계</t>
    <phoneticPr fontId="3" type="noConversion"/>
  </si>
  <si>
    <t>건설신기술</t>
    <phoneticPr fontId="3" type="noConversion"/>
  </si>
  <si>
    <t>특허 5년미만 소계</t>
    <phoneticPr fontId="3" type="noConversion"/>
  </si>
  <si>
    <t>실용신안 10년미만 소계</t>
    <phoneticPr fontId="3" type="noConversion"/>
  </si>
  <si>
    <t>실용신안 5년미만 소계</t>
    <phoneticPr fontId="3" type="noConversion"/>
  </si>
  <si>
    <t>입찰공고일 :</t>
    <phoneticPr fontId="3" type="noConversion"/>
  </si>
  <si>
    <t>증빙서류 좌측에 연번을 반드시 기재후 연번순서대로 제본하여야 합니다.</t>
    <phoneticPr fontId="3" type="noConversion"/>
  </si>
  <si>
    <t>경과기간은 출원일로부터 경과기간을 기재해야 하며, 2인이상 출원시 출원인수로 나누어 산정한 건수로 산정되어집니다.</t>
    <phoneticPr fontId="3" type="noConversion"/>
  </si>
  <si>
    <t>증빙서류는 최근 1월 이내에 관할기관에서 발행한 등본이어야 합니다.</t>
    <phoneticPr fontId="3" type="noConversion"/>
  </si>
  <si>
    <t>준공
금액
(백만원)</t>
    <phoneticPr fontId="2" type="noConversion"/>
  </si>
  <si>
    <t>지정
번호</t>
    <phoneticPr fontId="3" type="noConversion"/>
  </si>
  <si>
    <t>배점기준</t>
    <phoneticPr fontId="2" type="noConversion"/>
  </si>
  <si>
    <t>계</t>
  </si>
  <si>
    <t>해당분야</t>
    <phoneticPr fontId="2" type="noConversion"/>
  </si>
  <si>
    <t>중복건수</t>
    <phoneticPr fontId="2" type="noConversion"/>
  </si>
  <si>
    <t>평가대상 인원수</t>
    <phoneticPr fontId="2" type="noConversion"/>
  </si>
  <si>
    <t>사업수행능력평가 참가업체</t>
    <phoneticPr fontId="2" type="noConversion"/>
  </si>
  <si>
    <t>실적건수
(건)</t>
    <phoneticPr fontId="2" type="noConversion"/>
  </si>
  <si>
    <t>실적금액
(억원)</t>
    <phoneticPr fontId="2" type="noConversion"/>
  </si>
  <si>
    <t>계약기간
(일)</t>
    <phoneticPr fontId="3" type="noConversion"/>
  </si>
  <si>
    <t>잔여기간
(일)</t>
    <phoneticPr fontId="3" type="noConversion"/>
  </si>
  <si>
    <t xml:space="preserve">공고일기준 잔여과업기간이 3개월이상인 용역에 대하여 작성합니다. </t>
    <phoneticPr fontId="3" type="noConversion"/>
  </si>
  <si>
    <t>면적가중치적용</t>
    <phoneticPr fontId="2" type="noConversion"/>
  </si>
  <si>
    <t>기준면적</t>
    <phoneticPr fontId="2" type="noConversion"/>
  </si>
  <si>
    <t>발주면적</t>
    <phoneticPr fontId="2" type="noConversion"/>
  </si>
  <si>
    <t>면적가중치</t>
    <phoneticPr fontId="2" type="noConversion"/>
  </si>
  <si>
    <t>발주금액</t>
    <phoneticPr fontId="2" type="noConversion"/>
  </si>
  <si>
    <t>면적기준</t>
    <phoneticPr fontId="2" type="noConversion"/>
  </si>
  <si>
    <t>보정계수</t>
    <phoneticPr fontId="2" type="noConversion"/>
  </si>
  <si>
    <t>직선보간법적용</t>
    <phoneticPr fontId="2" type="noConversion"/>
  </si>
  <si>
    <t>소계</t>
    <phoneticPr fontId="2" type="noConversion"/>
  </si>
  <si>
    <t>3년이내</t>
    <phoneticPr fontId="2" type="noConversion"/>
  </si>
  <si>
    <t>5년이내</t>
    <phoneticPr fontId="2" type="noConversion"/>
  </si>
  <si>
    <t>참여도</t>
    <phoneticPr fontId="2" type="noConversion"/>
  </si>
  <si>
    <t>건별산정기준</t>
    <phoneticPr fontId="2" type="noConversion"/>
  </si>
  <si>
    <t>보정계수적용금액</t>
    <phoneticPr fontId="2" type="noConversion"/>
  </si>
  <si>
    <t>부실벌점 현황</t>
    <phoneticPr fontId="2" type="noConversion"/>
  </si>
  <si>
    <t>1) 참여업체 부실벌점</t>
    <phoneticPr fontId="2" type="noConversion"/>
  </si>
  <si>
    <t>항     목</t>
    <phoneticPr fontId="2" type="noConversion"/>
  </si>
  <si>
    <t>산   식</t>
    <phoneticPr fontId="2" type="noConversion"/>
  </si>
  <si>
    <t>사업책임</t>
    <phoneticPr fontId="2" type="noConversion"/>
  </si>
  <si>
    <t>사업책임
OR
분야별책임</t>
    <phoneticPr fontId="2" type="noConversion"/>
  </si>
  <si>
    <t>3. 전차용역</t>
    <phoneticPr fontId="2" type="noConversion"/>
  </si>
  <si>
    <t>하위업체</t>
    <phoneticPr fontId="2" type="noConversion"/>
  </si>
  <si>
    <t>+1</t>
    <phoneticPr fontId="2" type="noConversion"/>
  </si>
  <si>
    <t>○ 교육훈련 및 전차용역(2점)</t>
    <phoneticPr fontId="2" type="noConversion"/>
  </si>
  <si>
    <t>구 분</t>
    <phoneticPr fontId="2" type="noConversion"/>
  </si>
  <si>
    <t>항목</t>
    <phoneticPr fontId="2" type="noConversion"/>
  </si>
  <si>
    <t>등급</t>
    <phoneticPr fontId="2" type="noConversion"/>
  </si>
  <si>
    <t>이적계수</t>
    <phoneticPr fontId="2" type="noConversion"/>
  </si>
  <si>
    <t>평가</t>
    <phoneticPr fontId="2" type="noConversion"/>
  </si>
  <si>
    <t>사업책임기술자</t>
    <phoneticPr fontId="2" type="noConversion"/>
  </si>
  <si>
    <t>특급</t>
    <phoneticPr fontId="2" type="noConversion"/>
  </si>
  <si>
    <t>기술능력</t>
    <phoneticPr fontId="2" type="noConversion"/>
  </si>
  <si>
    <t>업무관리</t>
    <phoneticPr fontId="2" type="noConversion"/>
  </si>
  <si>
    <t>분야별 책임기술자</t>
    <phoneticPr fontId="2" type="noConversion"/>
  </si>
  <si>
    <t>점수</t>
    <phoneticPr fontId="2" type="noConversion"/>
  </si>
  <si>
    <t>분야별 참여기술자</t>
    <phoneticPr fontId="2" type="noConversion"/>
  </si>
  <si>
    <t>능력</t>
    <phoneticPr fontId="2" type="noConversion"/>
  </si>
  <si>
    <t>경력</t>
    <phoneticPr fontId="2" type="noConversion"/>
  </si>
  <si>
    <t>실적</t>
    <phoneticPr fontId="2" type="noConversion"/>
  </si>
  <si>
    <t>교육훈련(1점)</t>
    <phoneticPr fontId="2" type="noConversion"/>
  </si>
  <si>
    <t>2주이상</t>
    <phoneticPr fontId="2" type="noConversion"/>
  </si>
  <si>
    <t>1주이상</t>
    <phoneticPr fontId="2" type="noConversion"/>
  </si>
  <si>
    <t>전차용역 (1점)</t>
    <phoneticPr fontId="2" type="noConversion"/>
  </si>
  <si>
    <t>전차용역범위</t>
    <phoneticPr fontId="2" type="noConversion"/>
  </si>
  <si>
    <t>시간경과</t>
    <phoneticPr fontId="2" type="noConversion"/>
  </si>
  <si>
    <t>참여도</t>
    <phoneticPr fontId="2" type="noConversion"/>
  </si>
  <si>
    <t>참여분야</t>
    <phoneticPr fontId="2" type="noConversion"/>
  </si>
  <si>
    <t>성     명</t>
    <phoneticPr fontId="2" type="noConversion"/>
  </si>
  <si>
    <t>교육과정명</t>
    <phoneticPr fontId="2" type="noConversion"/>
  </si>
  <si>
    <t>교육기간</t>
    <phoneticPr fontId="2" type="noConversion"/>
  </si>
  <si>
    <t>교육기관</t>
    <phoneticPr fontId="2" type="noConversion"/>
  </si>
  <si>
    <t>평점</t>
    <phoneticPr fontId="2" type="noConversion"/>
  </si>
  <si>
    <t>전차참여분야</t>
    <phoneticPr fontId="2" type="noConversion"/>
  </si>
  <si>
    <t>경과기간(년)</t>
    <phoneticPr fontId="2" type="noConversion"/>
  </si>
  <si>
    <t>계약기간(월)</t>
    <phoneticPr fontId="2" type="noConversion"/>
  </si>
  <si>
    <t>참여기간(월)</t>
    <phoneticPr fontId="2" type="noConversion"/>
  </si>
  <si>
    <t>참여적용비율</t>
    <phoneticPr fontId="2" type="noConversion"/>
  </si>
  <si>
    <t xml:space="preserve">해당 전차용역 현황을 기재하시기 바랍니다. </t>
    <phoneticPr fontId="3" type="noConversion"/>
  </si>
  <si>
    <t>계약기간</t>
    <phoneticPr fontId="2" type="noConversion"/>
  </si>
  <si>
    <t>공동도급현황</t>
    <phoneticPr fontId="2" type="noConversion"/>
  </si>
  <si>
    <t>준공일</t>
    <phoneticPr fontId="2" type="noConversion"/>
  </si>
  <si>
    <t>업체명</t>
    <phoneticPr fontId="2" type="noConversion"/>
  </si>
  <si>
    <t>지분율</t>
    <phoneticPr fontId="2" type="noConversion"/>
  </si>
  <si>
    <t>전차용역의범위</t>
    <phoneticPr fontId="2" type="noConversion"/>
  </si>
  <si>
    <t>준공일</t>
    <phoneticPr fontId="2" type="noConversion"/>
  </si>
  <si>
    <t>부실벌점</t>
    <phoneticPr fontId="2" type="noConversion"/>
  </si>
  <si>
    <t>업체</t>
    <phoneticPr fontId="2" type="noConversion"/>
  </si>
  <si>
    <t>평 가</t>
    <phoneticPr fontId="2" type="noConversion"/>
  </si>
  <si>
    <t>-0.5</t>
    <phoneticPr fontId="2" type="noConversion"/>
  </si>
  <si>
    <t>2.기술능력</t>
    <phoneticPr fontId="2" type="noConversion"/>
  </si>
  <si>
    <t>3.업무관리능력</t>
    <phoneticPr fontId="2" type="noConversion"/>
  </si>
  <si>
    <t>4. 경력</t>
    <phoneticPr fontId="2" type="noConversion"/>
  </si>
  <si>
    <t>5. 실적</t>
    <phoneticPr fontId="2" type="noConversion"/>
  </si>
  <si>
    <t>6. 전차용역</t>
    <phoneticPr fontId="2" type="noConversion"/>
  </si>
  <si>
    <t>1.등급</t>
    <phoneticPr fontId="2" type="noConversion"/>
  </si>
  <si>
    <t xml:space="preserve">2. 각 실적 입력 시트에  </t>
    <phoneticPr fontId="2" type="noConversion"/>
  </si>
  <si>
    <t>색으로 표시된 셀은 집계표의 참조셀이므로 절대로 삭제하면 안됩니다.</t>
    <phoneticPr fontId="2" type="noConversion"/>
  </si>
  <si>
    <t>20점 이상</t>
    <phoneticPr fontId="2" type="noConversion"/>
  </si>
  <si>
    <t>1점이상 2점미만</t>
    <phoneticPr fontId="2" type="noConversion"/>
  </si>
  <si>
    <t>2점이상 5점미만</t>
    <phoneticPr fontId="2" type="noConversion"/>
  </si>
  <si>
    <t>5점이상 10점미만</t>
    <phoneticPr fontId="2" type="noConversion"/>
  </si>
  <si>
    <t>10점이상 15점미만</t>
    <phoneticPr fontId="2" type="noConversion"/>
  </si>
  <si>
    <t>15점이상 20점미만</t>
    <phoneticPr fontId="2" type="noConversion"/>
  </si>
  <si>
    <t>참여기간</t>
    <phoneticPr fontId="2" type="noConversion"/>
  </si>
  <si>
    <t>도시계획</t>
    <phoneticPr fontId="2" type="noConversion"/>
  </si>
  <si>
    <t>□ 투자실적(10점)</t>
    <phoneticPr fontId="2" type="noConversion"/>
  </si>
  <si>
    <t xml:space="preserve">근거법: 택지개발촉진법 </t>
    <phoneticPr fontId="3" type="noConversion"/>
  </si>
  <si>
    <t>인천도시공사</t>
  </si>
  <si>
    <t>경기도시공사</t>
  </si>
  <si>
    <t>금곡지구 택지개발사업 조사설계용역</t>
  </si>
  <si>
    <t>괴산발효식품농공단지실시설계용역</t>
  </si>
  <si>
    <t>괴산군</t>
  </si>
  <si>
    <t>전차용역 (1점)
(배점한도)</t>
    <phoneticPr fontId="2" type="noConversion"/>
  </si>
  <si>
    <t xml:space="preserve"> </t>
    <phoneticPr fontId="2" type="noConversion"/>
  </si>
  <si>
    <t>참여
지분율</t>
    <phoneticPr fontId="2" type="noConversion"/>
  </si>
  <si>
    <t>중복기간합계
(개월)</t>
    <phoneticPr fontId="3" type="noConversion"/>
  </si>
  <si>
    <t>ㄱ 형 perfobond리브 전단연결재를 적용한 콘크리트 충전강관거더 교량 시공기술</t>
  </si>
  <si>
    <t>강관 내·외부 또는 내부에 ㄱ형 돌기를 갖는 부착보강재(perfobond리브 전단열재)를 설치하고 콘크리트를 강관에 충전함으로써 충전콘크리트 또는 바닥판과 강관간의 합성거동효과 증대로 거더의 휨내력을 증진시킨 CFT(Concrete Filled Tubular)거더 교량 시공기술이다</t>
  </si>
  <si>
    <t>특허</t>
  </si>
  <si>
    <t>은평지구 뉴타운 도시개발사업 조사설계 용역</t>
  </si>
  <si>
    <t xml:space="preserve">▣근거법:산업입지및개발에관한법률
위치:경기도 평택시 오성면 양교리,
 청북면 토진.후사리 일원
면적:600,978㎡ 
토질조사및시험:46,594,900원 
에너지사용계획:38,326,000원
기본계획:158,479,200원
기본및실시설계:886,882,700원
광역교통개선대책:22,899,800원
도시기본계획(변경)수립:
88,330,000원
환경영향평가:256,183,400원
사전재해영향성검토:18,969,500원
교통영향평가:137,575,900원
측량:28,411,900원
재해영향평가:50,563,700원
진입도로설계:124,072,300원
인구영향평가:45,497,100원
농업생산기반시설정비:
265,546,900원
</t>
    <phoneticPr fontId="17" type="noConversion"/>
  </si>
  <si>
    <t xml:space="preserve">근거법:택지개발촉진법
면적:A지구:589,570.3㎡
     B지구:217,750㎡
A지구
기본계획:96,913,200원
기본및실시설계:49,638,160원
특수구조물실시설계:
 607,513,000원
지반조사비:100,053,000원
에너지사용계획:65,565,000원
지구단위계획:163,587,000원
문화재지표조사:24,213,440원
추가설계용역비:224,485,879원
손해배상공제료:6,887,321원
부가가치세:127,141,800원
B지구
기본계획:37,412,100원
기본및실시설계:159,323,911원
지반조사비:21,787,400원
지구단위계획:58,914,200원
문화재지표조사:8,758,800원
손해배상공제료:771,658원
추가설계용역비:42,017,931월
부가가치세:31,434,200원
</t>
    <phoneticPr fontId="17" type="noConversion"/>
  </si>
  <si>
    <t>김포한강지구 택지개발사업 조사설계용역</t>
  </si>
  <si>
    <t xml:space="preserve">근거법:택지개발촉진법
위치:경기김포시운양동일원
면적:10,872,190.7㎡
 (연약지반:4,016,000㎡)
토질조사(시추조사338공)
 :1,128,751,800원
기본계획:1,331,973,500원
기본및실시설계
 :6,192,959,300원
조경기본계획:119,732,800원
에너지사용계획:198,631,400원
용역손해보험료:27,283,300원
지구지정제안서:23,852,400원
특수구조물기본및실시설계:
 2,108,506,400원
송전설로이설:161,502,000원
</t>
    <phoneticPr fontId="17" type="noConversion"/>
  </si>
  <si>
    <t xml:space="preserve">근거법:산업입지및개발에관한법률
면적:12,018,189㎡
위치:충청남도당진군석문면삼봉리,
 고대면성산리일원및해면 일부지역
기본계획:582,878,000원
지구단위계획:345,070,000원
기본및실시설계(특수구조물포함):
7,329,819,000원
조경기본계획:155,661,000원 
토질조사:1,104,477,000원
에너지사용계획:190,735,000원
매립재확보방안검토:182,600,000원
</t>
    <phoneticPr fontId="17" type="noConversion"/>
  </si>
  <si>
    <t>김포한강지구 택지개발사업 지구단위계획 및 경관계획수립 용역</t>
  </si>
  <si>
    <t xml:space="preserve">근거법:택지개발촉진법,
 국토의계획및이용에관한법률
위치:경기도김포시운양동일원
면적:10,872,190.7㎡
지구단위계획부문:
 1,049,488,176원
경관계획부문:641,483,824원
</t>
    <phoneticPr fontId="17" type="noConversion"/>
  </si>
  <si>
    <t>석문국가산업단지 개발사업 조사설계용역</t>
    <phoneticPr fontId="3" type="noConversion"/>
  </si>
  <si>
    <t>관련근거법:산업입지및개발에관한법률
면적:12,018,189㎡</t>
    <phoneticPr fontId="3" type="noConversion"/>
  </si>
  <si>
    <t>한국토지주택공사당진사업본부</t>
    <phoneticPr fontId="3" type="noConversion"/>
  </si>
  <si>
    <t>대구신서지구 택지개발사업 조사설계용역</t>
    <phoneticPr fontId="3" type="noConversion"/>
  </si>
  <si>
    <t>관련근거법:택지개발촉진법, 공공기관 지방이전에
따른 혁신도시건설 및 지원에 관한 특별법
면적:4,216,496㎡</t>
    <phoneticPr fontId="3" type="noConversion"/>
  </si>
  <si>
    <t>한국토지주택공사대구경북지역본부</t>
    <phoneticPr fontId="3" type="noConversion"/>
  </si>
  <si>
    <t>인천경제자유구역 영종하늘도시 개발사업 조사설계용역(1단계)</t>
    <phoneticPr fontId="3" type="noConversion"/>
  </si>
  <si>
    <t>관련근거법:경제자유구역의지정및운영에관한특별법
면적:15,067,747㎡</t>
    <phoneticPr fontId="3" type="noConversion"/>
  </si>
  <si>
    <t>한국토지주택공사 청라영종사업본부</t>
    <phoneticPr fontId="3" type="noConversion"/>
  </si>
  <si>
    <t>행복도시 첫마을사업 도시조성공사 설계용역</t>
    <phoneticPr fontId="3" type="noConversion"/>
  </si>
  <si>
    <t>·관련근거법:행정중심 복합도시건설을 위한 특별법
·면적:1,130,000㎡</t>
    <phoneticPr fontId="3" type="noConversion"/>
  </si>
  <si>
    <t>강관말뚝과 PHC말뚝을 결합구로 용접시킨 매입형 복합말뚝(HCP:Hybrid Composite Pile)의 설계 및 시공 방법</t>
    <phoneticPr fontId="3" type="noConversion"/>
  </si>
  <si>
    <t>거더 단부의 상부에 긴장재의 이완과 재긴장이 가능한 정착시스템을 이용한 프리스트레스트 콘크리트 거더 공법</t>
    <phoneticPr fontId="3" type="noConversion"/>
  </si>
  <si>
    <t>PSC I형 거더의 상연에 강판을 매설하고 부모멘트 구간에 강판 및 강선을 연결한 교량의 연속화 공법</t>
    <phoneticPr fontId="2" type="noConversion"/>
  </si>
  <si>
    <t>1점미만 (감점없음)</t>
    <phoneticPr fontId="2" type="noConversion"/>
  </si>
  <si>
    <t>1점미만 (감점없음)</t>
    <phoneticPr fontId="2" type="noConversion"/>
  </si>
  <si>
    <t xml:space="preserve"> - 개발계획</t>
    <phoneticPr fontId="3" type="noConversion"/>
  </si>
  <si>
    <t>강원발전연구원</t>
    <phoneticPr fontId="3" type="noConversion"/>
  </si>
  <si>
    <t xml:space="preserve"> - 지구단위계획</t>
    <phoneticPr fontId="3" type="noConversion"/>
  </si>
  <si>
    <t xml:space="preserve">근거법: 택지개발촉진법 </t>
    <phoneticPr fontId="3" type="noConversion"/>
  </si>
  <si>
    <t>도시계획</t>
    <phoneticPr fontId="3" type="noConversion"/>
  </si>
  <si>
    <t>성남판교지구 택지개발사업 조사설계
용역(1단계)</t>
    <phoneticPr fontId="3" type="noConversion"/>
  </si>
  <si>
    <t>시화2단계(송산그린시티)개발사업
제3공구기본및실시설계용역</t>
    <phoneticPr fontId="2" type="noConversion"/>
  </si>
  <si>
    <t>구미국가산업단지 확장단지 조성사업 
지구단위계획 용역</t>
    <phoneticPr fontId="3" type="noConversion"/>
  </si>
  <si>
    <t>동해안권 경제자유구역 지정을 위한 
개발계획수립용역중 기술및도면작성
부문 위탁용역</t>
    <phoneticPr fontId="3" type="noConversion"/>
  </si>
  <si>
    <t>평택오성산업단지조성사업조사설계
용역</t>
    <phoneticPr fontId="2" type="noConversion"/>
  </si>
  <si>
    <t>경기지방공사</t>
  </si>
  <si>
    <t>한국토지공사</t>
  </si>
  <si>
    <t>파주출판문화정보 국가산업단지 2단계 조사설계 용역</t>
  </si>
  <si>
    <t>석문국가 산업단지 개발사업 조사설계용역</t>
  </si>
  <si>
    <t>한국토지주택공사 당진사업본부</t>
  </si>
  <si>
    <t xml:space="preserve"> - 설계업체 근무실적 양식</t>
    <phoneticPr fontId="3" type="noConversion"/>
  </si>
  <si>
    <t>소계</t>
    <phoneticPr fontId="3" type="noConversion"/>
  </si>
  <si>
    <t>총계</t>
    <phoneticPr fontId="3" type="noConversion"/>
  </si>
  <si>
    <t>한국토지주택공사세종시사업본부</t>
    <phoneticPr fontId="3" type="noConversion"/>
  </si>
  <si>
    <t>-</t>
    <phoneticPr fontId="2" type="noConversion"/>
  </si>
  <si>
    <t>입찰공고일 :</t>
    <phoneticPr fontId="3" type="noConversion"/>
  </si>
  <si>
    <t>기술개요</t>
    <phoneticPr fontId="3" type="noConversion"/>
  </si>
  <si>
    <t>최초
출원인</t>
    <phoneticPr fontId="3" type="noConversion"/>
  </si>
  <si>
    <t>출원
인수</t>
    <phoneticPr fontId="3" type="noConversion"/>
  </si>
  <si>
    <t>지정(출원)일</t>
    <phoneticPr fontId="3" type="noConversion"/>
  </si>
  <si>
    <t>건설신기술</t>
    <phoneticPr fontId="3" type="noConversion"/>
  </si>
  <si>
    <t>신기술 소계</t>
    <phoneticPr fontId="3" type="noConversion"/>
  </si>
  <si>
    <t>특허</t>
    <phoneticPr fontId="3" type="noConversion"/>
  </si>
  <si>
    <t xml:space="preserve"> 특허 20년미만 소계</t>
    <phoneticPr fontId="3" type="noConversion"/>
  </si>
  <si>
    <t>특허</t>
    <phoneticPr fontId="3" type="noConversion"/>
  </si>
  <si>
    <t>특허</t>
    <phoneticPr fontId="3" type="noConversion"/>
  </si>
  <si>
    <t>특허 10년미만 소계</t>
    <phoneticPr fontId="3" type="noConversion"/>
  </si>
  <si>
    <t>SH 공사</t>
  </si>
  <si>
    <t>2002-12-30</t>
  </si>
  <si>
    <t>2008-12-02</t>
  </si>
  <si>
    <t xml:space="preserve">
▣근거법:도시개발법
면적 : 3,492,421㎡
기본계획:502,148,815원
기본및실시설계:1,744,167,431원
토질조사:341,897,536원
에너지사용계획:109,847,431원
지구단위계획:633,359,509원
문화재지표조사:25,267,955원
측량:390,058,858원
개발제한구역해제:8,421,600원
환경생태계획수립:8,421,600원
뉴타운기록화사업:85,100,000원
건축설계지침:111,655,000원
진관근린공원 기본계획:
107,045,001원
자원회수시설 기본계획 및 입찰
안내서 작성:128,894,475원
도시환경디자인:156,578,400원
지하수영향분석:85,248,000원
실개천 유지용수공급 방안
:44,862,400원
중심상업용지 개발관련 수요분석
및 시뮬레이션:47,843,400원
재정비촉진계획(변경)수립:
113,302,549원
문화재가치평가학술:46,200,000원
환경영향평가조사:154,156,746원
</t>
    <phoneticPr fontId="2" type="noConversion"/>
  </si>
  <si>
    <t>도로및공항</t>
    <phoneticPr fontId="2" type="noConversion"/>
  </si>
  <si>
    <t>강동권역 택지개발사업 조사설계 용역</t>
  </si>
  <si>
    <t>SH공사</t>
  </si>
  <si>
    <t>2002-04-30</t>
  </si>
  <si>
    <t>2006-01-13</t>
  </si>
  <si>
    <t>근거법: 택지개발촉진법
위치:경기도 공명시 소하동,
하안동 일원
면적: 1,050,358.03㎡
(317,733평)
과업내용:(VAT포함)
개발계획 \ 69,326,000
실시계획(기본설계포함) 
\ 216,796,000
지구단위계획\99,045,000
환경영향평가\189,244,000
교통영향평가\113,145,000
재해영향평가\91,265 000
인구영향평가\54,606,000</t>
    <phoneticPr fontId="2" type="noConversion"/>
  </si>
  <si>
    <t>신기술</t>
  </si>
  <si>
    <t>중복비율 : (수행중인 다른 용역들의 중복기간 합계/해당용역기간×100)</t>
    <phoneticPr fontId="2" type="noConversion"/>
  </si>
  <si>
    <t>"해당사항 없음"</t>
    <phoneticPr fontId="2" type="noConversion"/>
  </si>
  <si>
    <t>○ 등 급(13점[11점])</t>
    <phoneticPr fontId="2" type="noConversion"/>
  </si>
  <si>
    <t>○ 경력 및 실적(35점[37점])</t>
    <phoneticPr fontId="2" type="noConversion"/>
  </si>
  <si>
    <t>사업번호</t>
    <phoneticPr fontId="3" type="noConversion"/>
  </si>
  <si>
    <t>종  합  평  가  표</t>
    <phoneticPr fontId="2" type="noConversion"/>
  </si>
  <si>
    <t>평가항목</t>
    <phoneticPr fontId="2" type="noConversion"/>
  </si>
  <si>
    <t>세   부   사   항</t>
    <phoneticPr fontId="2" type="noConversion"/>
  </si>
  <si>
    <t>평가점수</t>
    <phoneticPr fontId="2" type="noConversion"/>
  </si>
  <si>
    <t>분 야 별</t>
    <phoneticPr fontId="2" type="noConversion"/>
  </si>
  <si>
    <t>배점</t>
    <phoneticPr fontId="2" type="noConversion"/>
  </si>
  <si>
    <t>항    목</t>
    <phoneticPr fontId="2" type="noConversion"/>
  </si>
  <si>
    <t>배 점</t>
    <phoneticPr fontId="2" type="noConversion"/>
  </si>
  <si>
    <t>등급</t>
    <phoneticPr fontId="2" type="noConversion"/>
  </si>
  <si>
    <t>사책</t>
    <phoneticPr fontId="2" type="noConversion"/>
  </si>
  <si>
    <t>분책</t>
    <phoneticPr fontId="2" type="noConversion"/>
  </si>
  <si>
    <t>참여</t>
    <phoneticPr fontId="2" type="noConversion"/>
  </si>
  <si>
    <t>기술능력</t>
    <phoneticPr fontId="2" type="noConversion"/>
  </si>
  <si>
    <t>업무관리능력</t>
    <phoneticPr fontId="2" type="noConversion"/>
  </si>
  <si>
    <t>2. 경력,실적,
   교육훈련,전차용역</t>
    <phoneticPr fontId="2" type="noConversion"/>
  </si>
  <si>
    <t>경력</t>
    <phoneticPr fontId="2" type="noConversion"/>
  </si>
  <si>
    <t>실적</t>
    <phoneticPr fontId="2" type="noConversion"/>
  </si>
  <si>
    <t>교육훈련</t>
    <phoneticPr fontId="2" type="noConversion"/>
  </si>
  <si>
    <t>전차용역(기술자)</t>
    <phoneticPr fontId="2" type="noConversion"/>
  </si>
  <si>
    <t>Ⅱ.참여
업체
[40]</t>
    <phoneticPr fontId="2" type="noConversion"/>
  </si>
  <si>
    <t>3. 유사용역 수행실적</t>
    <phoneticPr fontId="2" type="noConversion"/>
  </si>
  <si>
    <t>최근 5년간</t>
    <phoneticPr fontId="2" type="noConversion"/>
  </si>
  <si>
    <t>건수</t>
    <phoneticPr fontId="2" type="noConversion"/>
  </si>
  <si>
    <t>금액</t>
    <phoneticPr fontId="2" type="noConversion"/>
  </si>
  <si>
    <t>전차용역(업체)</t>
    <phoneticPr fontId="2" type="noConversion"/>
  </si>
  <si>
    <t>4. 신용도</t>
    <phoneticPr fontId="2" type="noConversion"/>
  </si>
  <si>
    <t>제한,정지,부실벌점</t>
    <phoneticPr fontId="2" type="noConversion"/>
  </si>
  <si>
    <t>신용평가등급</t>
    <phoneticPr fontId="2" type="noConversion"/>
  </si>
  <si>
    <t>5. 기술개발 및 투자
   실적</t>
    <phoneticPr fontId="2" type="noConversion"/>
  </si>
  <si>
    <t>개발실적</t>
    <phoneticPr fontId="2" type="noConversion"/>
  </si>
  <si>
    <t>투자실적</t>
    <phoneticPr fontId="2" type="noConversion"/>
  </si>
  <si>
    <t>활용실적</t>
    <phoneticPr fontId="2" type="noConversion"/>
  </si>
  <si>
    <t>Ⅲ.업무중첩도[10]</t>
    <phoneticPr fontId="2" type="noConversion"/>
  </si>
  <si>
    <t>Ⅳ.가감점</t>
    <phoneticPr fontId="2" type="noConversion"/>
  </si>
  <si>
    <t>가감점</t>
    <phoneticPr fontId="2" type="noConversion"/>
  </si>
  <si>
    <t>계</t>
    <phoneticPr fontId="2" type="noConversion"/>
  </si>
  <si>
    <t>한국수자원공사</t>
  </si>
  <si>
    <t>용역건수
(지분율
미반영)</t>
    <phoneticPr fontId="3" type="noConversion"/>
  </si>
  <si>
    <t>실적건수
(지분율
반영)</t>
    <phoneticPr fontId="3" type="noConversion"/>
  </si>
  <si>
    <t>도급
지분</t>
    <phoneticPr fontId="3" type="noConversion"/>
  </si>
  <si>
    <t>토목구조</t>
    <phoneticPr fontId="2" type="noConversion"/>
  </si>
  <si>
    <t>상하수도</t>
    <phoneticPr fontId="2" type="noConversion"/>
  </si>
  <si>
    <t>단부의 측면에 설치된 정착장치와 연속 텐던을 이용한 PSC-I형 거더 합성교의 연속화 공법</t>
    <phoneticPr fontId="3" type="noConversion"/>
  </si>
  <si>
    <t>자연분해성 섬유를 이용한 토사 및 풍화암 비탈면 녹화공법</t>
    <phoneticPr fontId="3" type="noConversion"/>
  </si>
  <si>
    <t>PS강봉에 프리스트레스를 도입한 단면력 저감형 PC옹벽공법</t>
    <phoneticPr fontId="3" type="noConversion"/>
  </si>
  <si>
    <t>PCS I형 거더의 상연에 강판을 매설하고 부모멘트 구간에 강판 및 강선을 연결한 교량의 연속화 공법</t>
    <phoneticPr fontId="3" type="noConversion"/>
  </si>
  <si>
    <t>터널 심발부 중앙공 선기폭 및 단계별 V-CUT 발파공법</t>
    <phoneticPr fontId="3" type="noConversion"/>
  </si>
  <si>
    <t>고강도 프리캐스트 패널(LB-DECK)과 전용 작업대차를 활용한 교량 바닥판 시공공법</t>
    <phoneticPr fontId="3" type="noConversion"/>
  </si>
  <si>
    <t>WPC(Wide flange Prestressed Concrete)박스거더 교량공법</t>
    <phoneticPr fontId="3" type="noConversion"/>
  </si>
  <si>
    <t>거더 단부의 상부에 긴장재의 이완과 재긴장이 가능한 정착시스템을 이용한 프리스트레스트 콘크리트 거더 공법</t>
    <phoneticPr fontId="3" type="noConversion"/>
  </si>
  <si>
    <t>LU형으로 3차원 가공된 이형철근을 결합한 강관말뚝 두부보강 공법</t>
    <phoneticPr fontId="3" type="noConversion"/>
  </si>
  <si>
    <t>특급</t>
    <phoneticPr fontId="2" type="noConversion"/>
  </si>
  <si>
    <t>특급</t>
    <phoneticPr fontId="2" type="noConversion"/>
  </si>
  <si>
    <t>특급</t>
    <phoneticPr fontId="2" type="noConversion"/>
  </si>
  <si>
    <t>"해당사항 없음"</t>
    <phoneticPr fontId="2" type="noConversion"/>
  </si>
  <si>
    <t>도로공항</t>
    <phoneticPr fontId="2" type="noConversion"/>
  </si>
  <si>
    <t>토질지질</t>
    <phoneticPr fontId="2" type="noConversion"/>
  </si>
  <si>
    <t>번호</t>
    <phoneticPr fontId="3" type="noConversion"/>
  </si>
  <si>
    <t>참여용역명</t>
    <phoneticPr fontId="2" type="noConversion"/>
  </si>
  <si>
    <t>사업개요</t>
    <phoneticPr fontId="3" type="noConversion"/>
  </si>
  <si>
    <t>비고</t>
    <phoneticPr fontId="3" type="noConversion"/>
  </si>
  <si>
    <t>용역
준공일</t>
    <phoneticPr fontId="3" type="noConversion"/>
  </si>
  <si>
    <t>▣ 유사용역 수행실적</t>
    <phoneticPr fontId="2" type="noConversion"/>
  </si>
  <si>
    <t>용역기간</t>
    <phoneticPr fontId="3" type="noConversion"/>
  </si>
  <si>
    <t>준공
금액
(백만원)</t>
    <phoneticPr fontId="2" type="noConversion"/>
  </si>
  <si>
    <t>실적제외금액(백만원)</t>
    <phoneticPr fontId="3" type="noConversion"/>
  </si>
  <si>
    <t>도급지분</t>
    <phoneticPr fontId="3" type="noConversion"/>
  </si>
  <si>
    <t>적용금액
(백만원)</t>
    <phoneticPr fontId="3" type="noConversion"/>
  </si>
  <si>
    <t>실적금액
(백만원)</t>
    <phoneticPr fontId="3" type="noConversion"/>
  </si>
  <si>
    <t>용역건수
(지분율미반영)</t>
    <phoneticPr fontId="3" type="noConversion"/>
  </si>
  <si>
    <t>실적건수
(지분율반영)</t>
    <phoneticPr fontId="3" type="noConversion"/>
  </si>
  <si>
    <t>용역
계약일</t>
    <phoneticPr fontId="3" type="noConversion"/>
  </si>
  <si>
    <t>합계</t>
    <phoneticPr fontId="3" type="noConversion"/>
  </si>
  <si>
    <t>개발실적</t>
    <phoneticPr fontId="3" type="noConversion"/>
  </si>
  <si>
    <t>입찰공고일 :</t>
    <phoneticPr fontId="3" type="noConversion"/>
  </si>
  <si>
    <t>기술개요</t>
    <phoneticPr fontId="3" type="noConversion"/>
  </si>
  <si>
    <t>특허</t>
    <phoneticPr fontId="3" type="noConversion"/>
  </si>
  <si>
    <t xml:space="preserve"> 특허 20년미만 소계</t>
    <phoneticPr fontId="3" type="noConversion"/>
  </si>
  <si>
    <t>특허</t>
    <phoneticPr fontId="3" type="noConversion"/>
  </si>
  <si>
    <t>특허 10년미만 소계</t>
    <phoneticPr fontId="3" type="noConversion"/>
  </si>
  <si>
    <t>특허 5년미만 소계</t>
    <phoneticPr fontId="3" type="noConversion"/>
  </si>
  <si>
    <t>실용신안</t>
    <phoneticPr fontId="3" type="noConversion"/>
  </si>
  <si>
    <t>실용신안 10년미만 소계</t>
    <phoneticPr fontId="3" type="noConversion"/>
  </si>
  <si>
    <t>실용신안</t>
    <phoneticPr fontId="3" type="noConversion"/>
  </si>
  <si>
    <t>실용신안 5년미만 소계</t>
    <phoneticPr fontId="3" type="noConversion"/>
  </si>
  <si>
    <t>주) 1.</t>
    <phoneticPr fontId="3" type="noConversion"/>
  </si>
  <si>
    <t>19</t>
    <phoneticPr fontId="3" type="noConversion"/>
  </si>
  <si>
    <t xml:space="preserve"> 2.</t>
    <phoneticPr fontId="3" type="noConversion"/>
  </si>
  <si>
    <t>경과기간은 출원일로부터 경과기간을 기재해야 하며, 2인이상 출원시 출원인수로 나누어 산정한 건수로 산정되어집니다.</t>
    <phoneticPr fontId="3" type="noConversion"/>
  </si>
  <si>
    <t xml:space="preserve"> 3.</t>
    <phoneticPr fontId="3" type="noConversion"/>
  </si>
  <si>
    <t>증빙서류는 최근 1월 이내에 관할기관에서 발행한 등본이어야 합니다.</t>
    <phoneticPr fontId="3" type="noConversion"/>
  </si>
  <si>
    <t>종류</t>
    <phoneticPr fontId="3" type="noConversion"/>
  </si>
  <si>
    <t>지정
번호</t>
    <phoneticPr fontId="3" type="noConversion"/>
  </si>
  <si>
    <t>기술명</t>
    <phoneticPr fontId="2" type="noConversion"/>
  </si>
  <si>
    <t>경과기간
가중치</t>
    <phoneticPr fontId="3" type="noConversion"/>
  </si>
  <si>
    <t>실적
금액
(백만원)</t>
    <phoneticPr fontId="3" type="noConversion"/>
  </si>
  <si>
    <t>실적
건수</t>
    <phoneticPr fontId="3" type="noConversion"/>
  </si>
  <si>
    <t>금액
가중치</t>
    <phoneticPr fontId="3" type="noConversion"/>
  </si>
  <si>
    <t>건수
가중치</t>
    <phoneticPr fontId="3" type="noConversion"/>
  </si>
  <si>
    <t>점수</t>
    <phoneticPr fontId="3" type="noConversion"/>
  </si>
  <si>
    <t>신기술</t>
    <phoneticPr fontId="3" type="noConversion"/>
  </si>
  <si>
    <t>신기술 소계</t>
    <phoneticPr fontId="3" type="noConversion"/>
  </si>
  <si>
    <t>특허</t>
    <phoneticPr fontId="3" type="noConversion"/>
  </si>
  <si>
    <t>특허 소계</t>
    <phoneticPr fontId="3" type="noConversion"/>
  </si>
  <si>
    <t>미제출</t>
  </si>
  <si>
    <t>특급</t>
    <phoneticPr fontId="2" type="noConversion"/>
  </si>
  <si>
    <t>특급</t>
    <phoneticPr fontId="2" type="noConversion"/>
  </si>
  <si>
    <t xml:space="preserve"> - 기본 및 실시설계</t>
    <phoneticPr fontId="3" type="noConversion"/>
  </si>
  <si>
    <t xml:space="preserve"> - 실시설계</t>
    <phoneticPr fontId="3" type="noConversion"/>
  </si>
  <si>
    <t>한국토지주택공사</t>
  </si>
  <si>
    <t>▣ 용역 수행실적</t>
    <phoneticPr fontId="2" type="noConversion"/>
  </si>
  <si>
    <t>도로및공항 책임</t>
    <phoneticPr fontId="2" type="noConversion"/>
  </si>
  <si>
    <t>도시계획 책임</t>
    <phoneticPr fontId="2" type="noConversion"/>
  </si>
  <si>
    <t>상하수도 책임</t>
    <phoneticPr fontId="2" type="noConversion"/>
  </si>
  <si>
    <t>사 업 책 임</t>
    <phoneticPr fontId="2" type="noConversion"/>
  </si>
  <si>
    <t>토목구조 책임</t>
    <phoneticPr fontId="2" type="noConversion"/>
  </si>
  <si>
    <t>도시계획 참여</t>
    <phoneticPr fontId="2" type="noConversion"/>
  </si>
  <si>
    <t>상하수도 참여</t>
    <phoneticPr fontId="2" type="noConversion"/>
  </si>
  <si>
    <t>토질·지질 참여</t>
    <phoneticPr fontId="2" type="noConversion"/>
  </si>
  <si>
    <t>토목구조 참여</t>
    <phoneticPr fontId="2" type="noConversion"/>
  </si>
  <si>
    <t>실용신안</t>
    <phoneticPr fontId="3" type="noConversion"/>
  </si>
  <si>
    <t>강박스 내측 하면에 아치형상의 콘크리트를 타설한 개구형박스 단면을 Ⅰ형 단면의 상부에 조합하여 변단면 구조를 갖도록 한 강합성거더 공법</t>
    <phoneticPr fontId="3" type="noConversion"/>
  </si>
  <si>
    <t>㈜경동엔지니어링
외 3인</t>
    <phoneticPr fontId="3" type="noConversion"/>
  </si>
  <si>
    <t>"해당사항 없음"</t>
    <phoneticPr fontId="2" type="noConversion"/>
  </si>
  <si>
    <t>"해당사항 없음"</t>
    <phoneticPr fontId="2" type="noConversion"/>
  </si>
  <si>
    <t>특허</t>
    <phoneticPr fontId="3" type="noConversion"/>
  </si>
  <si>
    <t>"해당사항 없음"</t>
    <phoneticPr fontId="2" type="noConversion"/>
  </si>
  <si>
    <t>이 기술은 강재거더를 지점부에서는 폐단면이고 지간 중앙부에서는 개구형박스(⊔)단면이 I형단면과 아치형태의 변단면 구성을 갖는 형상이며,강박스 내부에 압축 주응력이 작용하는 방향을따라 아치형태의 콘크리트를 배치하여 이종재료의 상호보완효과로 효율적인 단면강성을 확보함에 따라 좌굴저항성 증대와 보강재를 최소화 할 수 있는 동시에 진동성능을 증대시킬 수 있는 강합성거더 공법이다</t>
    <phoneticPr fontId="3" type="noConversion"/>
  </si>
  <si>
    <t>단부의 측면에 설치된 정착장치와 연속 텐던을 이용한 PSC-I형 거더 합성교의 연속화 공법</t>
  </si>
  <si>
    <t>자연분해성 섬유를 이용한 토사 및 풍화암 비탈면 녹화공법</t>
  </si>
  <si>
    <t>에어튜브를 이용한 에어데크 발파공법</t>
  </si>
  <si>
    <t>고강도 프리캐스트 패널(LB-DECK)과 전용 작업대차를 활용한 교량 바닥판 시공공법</t>
    <phoneticPr fontId="3" type="noConversion"/>
  </si>
  <si>
    <t>특허 5년미만 소계</t>
    <phoneticPr fontId="3" type="noConversion"/>
  </si>
  <si>
    <t>실용신안</t>
    <phoneticPr fontId="3" type="noConversion"/>
  </si>
  <si>
    <t>실용신안 10년미만 소계</t>
    <phoneticPr fontId="3" type="noConversion"/>
  </si>
  <si>
    <t>하수도정비대책수립</t>
    <phoneticPr fontId="3" type="noConversion"/>
  </si>
  <si>
    <t>-</t>
    <phoneticPr fontId="3" type="noConversion"/>
  </si>
  <si>
    <t>-</t>
    <phoneticPr fontId="3" type="noConversion"/>
  </si>
  <si>
    <t>바(BAR)조립식 보수팩커와 가지관 보수팩커를 이용한 하수관거 비굴착 부분보수공법 (Multi Point Liner System/MPL공법)</t>
    <phoneticPr fontId="17" type="noConversion"/>
  </si>
  <si>
    <t>수냉 비정질 C12A7계 시멘트 광물계 급결제와 복합에어인젝션 시스템으로 구성된 타설 장비를 이용한 습식 숏크리트 공법</t>
    <phoneticPr fontId="17" type="noConversion"/>
  </si>
  <si>
    <t>단부의 측면에 설치된 정착장치와 연속 텐던을 이용한 PSC-I형 거더 합성교의 연속화 공법</t>
    <phoneticPr fontId="17" type="noConversion"/>
  </si>
  <si>
    <t>특허</t>
    <phoneticPr fontId="17" type="noConversion"/>
  </si>
  <si>
    <t>10-0440671</t>
  </si>
  <si>
    <t>강관말뚝 결합구</t>
    <phoneticPr fontId="17" type="noConversion"/>
  </si>
  <si>
    <t>도시계획 책임</t>
    <phoneticPr fontId="2" type="noConversion"/>
  </si>
  <si>
    <t>토질·지질 책임</t>
    <phoneticPr fontId="2" type="noConversion"/>
  </si>
  <si>
    <t>도로및공항 참여</t>
    <phoneticPr fontId="2" type="noConversion"/>
  </si>
  <si>
    <t>oo엔지니어링</t>
    <phoneticPr fontId="2" type="noConversion"/>
  </si>
  <si>
    <t>＊＊엔지니어링</t>
    <phoneticPr fontId="2" type="noConversion"/>
  </si>
  <si>
    <t>☆☆엔지니어링</t>
    <phoneticPr fontId="2" type="noConversion"/>
  </si>
  <si>
    <t>김사책</t>
    <phoneticPr fontId="2" type="noConversion"/>
  </si>
  <si>
    <t>ooo</t>
    <phoneticPr fontId="2" type="noConversion"/>
  </si>
  <si>
    <t xml:space="preserve"> </t>
    <phoneticPr fontId="3" type="noConversion"/>
  </si>
  <si>
    <t xml:space="preserve"> </t>
    <phoneticPr fontId="3" type="noConversion"/>
  </si>
  <si>
    <t>OOOOOO</t>
    <phoneticPr fontId="2" type="noConversion"/>
  </si>
  <si>
    <t>OOO</t>
    <phoneticPr fontId="2" type="noConversion"/>
  </si>
  <si>
    <t>OOO</t>
    <phoneticPr fontId="3" type="noConversion"/>
  </si>
  <si>
    <t>OOO</t>
    <phoneticPr fontId="3" type="noConversion"/>
  </si>
  <si>
    <t>OOO</t>
    <phoneticPr fontId="2" type="noConversion"/>
  </si>
  <si>
    <t>OOO</t>
    <phoneticPr fontId="17" type="noConversion"/>
  </si>
  <si>
    <t>도책임</t>
    <phoneticPr fontId="2" type="noConversion"/>
  </si>
  <si>
    <t xml:space="preserve"> </t>
    <phoneticPr fontId="17" type="noConversion"/>
  </si>
  <si>
    <t xml:space="preserve">신기술 활용실적  </t>
    <phoneticPr fontId="3" type="noConversion"/>
  </si>
  <si>
    <t>신기술 활용실적  00엔지니어링</t>
    <phoneticPr fontId="3" type="noConversion"/>
  </si>
  <si>
    <t>분야6</t>
    <phoneticPr fontId="2" type="noConversion"/>
  </si>
  <si>
    <t>조경</t>
    <phoneticPr fontId="2" type="noConversion"/>
  </si>
  <si>
    <t>4. 용역수행성과</t>
    <phoneticPr fontId="2" type="noConversion"/>
  </si>
  <si>
    <t>BBB-이상</t>
    <phoneticPr fontId="2" type="noConversion"/>
  </si>
  <si>
    <t>BBB-미만B-이상</t>
    <phoneticPr fontId="2" type="noConversion"/>
  </si>
  <si>
    <t>A3-이상</t>
    <phoneticPr fontId="2" type="noConversion"/>
  </si>
  <si>
    <t>중소기업 상생발전</t>
    <phoneticPr fontId="2" type="noConversion"/>
  </si>
  <si>
    <t>중소 신생기업참여</t>
    <phoneticPr fontId="2" type="noConversion"/>
  </si>
  <si>
    <t>하도급계획서 제출</t>
    <phoneticPr fontId="2" type="noConversion"/>
  </si>
  <si>
    <t>참여</t>
    <phoneticPr fontId="2" type="noConversion"/>
  </si>
  <si>
    <t>미참여</t>
    <phoneticPr fontId="2" type="noConversion"/>
  </si>
  <si>
    <t>특급</t>
  </si>
  <si>
    <t>용역수행성과</t>
    <phoneticPr fontId="2" type="noConversion"/>
  </si>
  <si>
    <t>6. 중소기업 상생발전</t>
    <phoneticPr fontId="2" type="noConversion"/>
  </si>
  <si>
    <t>중소.신생기업참여</t>
    <phoneticPr fontId="2" type="noConversion"/>
  </si>
  <si>
    <t>하도급계획서제출</t>
    <phoneticPr fontId="2" type="noConversion"/>
  </si>
  <si>
    <t>분야별책임</t>
    <phoneticPr fontId="2" type="noConversion"/>
  </si>
  <si>
    <t>분야별참여</t>
    <phoneticPr fontId="2" type="noConversion"/>
  </si>
  <si>
    <t>번호</t>
    <phoneticPr fontId="3" type="noConversion"/>
  </si>
  <si>
    <t>참여용역명</t>
    <phoneticPr fontId="2" type="noConversion"/>
  </si>
  <si>
    <t>용역기간</t>
    <phoneticPr fontId="2" type="noConversion"/>
  </si>
  <si>
    <t>인정일</t>
    <phoneticPr fontId="2" type="noConversion"/>
  </si>
  <si>
    <t>유사용역
가중치</t>
    <phoneticPr fontId="3" type="noConversion"/>
  </si>
  <si>
    <t>적용
건수</t>
    <phoneticPr fontId="3" type="noConversion"/>
  </si>
  <si>
    <t>비고</t>
    <phoneticPr fontId="3" type="noConversion"/>
  </si>
  <si>
    <t>용역
착수일</t>
    <phoneticPr fontId="3" type="noConversion"/>
  </si>
  <si>
    <t>용역
준공일</t>
    <phoneticPr fontId="3" type="noConversion"/>
  </si>
  <si>
    <t>용역기간
(일)</t>
    <phoneticPr fontId="3" type="noConversion"/>
  </si>
  <si>
    <t>계</t>
    <phoneticPr fontId="3" type="noConversion"/>
  </si>
  <si>
    <t>년</t>
    <phoneticPr fontId="3" type="noConversion"/>
  </si>
  <si>
    <t>김사책</t>
    <phoneticPr fontId="2" type="noConversion"/>
  </si>
  <si>
    <t>00택지개발 조사설계용역</t>
    <phoneticPr fontId="2" type="noConversion"/>
  </si>
  <si>
    <t>토책임</t>
    <phoneticPr fontId="2" type="noConversion"/>
  </si>
  <si>
    <t>용역수행성과(2점)</t>
    <phoneticPr fontId="2" type="noConversion"/>
  </si>
  <si>
    <t>업체명</t>
    <phoneticPr fontId="2" type="noConversion"/>
  </si>
  <si>
    <t>용역명</t>
    <phoneticPr fontId="2" type="noConversion"/>
  </si>
  <si>
    <t>준공일</t>
    <phoneticPr fontId="2" type="noConversion"/>
  </si>
  <si>
    <t>점수</t>
    <phoneticPr fontId="2" type="noConversion"/>
  </si>
  <si>
    <t>"해당없음"</t>
    <phoneticPr fontId="2" type="noConversion"/>
  </si>
  <si>
    <t>주1)</t>
    <phoneticPr fontId="2" type="noConversion"/>
  </si>
  <si>
    <t xml:space="preserve"> 용역평가는 건진법 제50조에 따른 평가를 원칙으로 하되, 용역 특성을 반영하여 발주청에서 별도로 정한 평가의 결과를 활용할 수 있음</t>
    <phoneticPr fontId="2" type="noConversion"/>
  </si>
  <si>
    <t>용역착수시까지 하도급계획서 상 하도급 시행비율 및 하도급율 이상으로 하도급계약을 체결하여야 하며, 그 사실을 용역감독에게 제출하여야 함</t>
  </si>
  <si>
    <t xml:space="preserve">사업수행능력 평가서류 제출 시 [별지서식] 하도급계획서를 제출하는 자에 한하여 가점혜택이 부여되며, </t>
    <phoneticPr fontId="2" type="noConversion"/>
  </si>
  <si>
    <t>주2)</t>
    <phoneticPr fontId="2" type="noConversion"/>
  </si>
  <si>
    <t>(단, [별표3]에서 정한 유사용역 인정범위 공종에 대한 지정제안, 타당성조사, 기본구상, 기본계획, 기본설계, 실시설계용역 계약 실적만 해당)</t>
  </si>
  <si>
    <t>신생기업은 최근 3년 내 우리공사의 건설기술용역에 계약한 실적이 없는 업체임</t>
  </si>
  <si>
    <t>주1)</t>
    <phoneticPr fontId="2" type="noConversion"/>
  </si>
  <si>
    <t>점수</t>
    <phoneticPr fontId="2" type="noConversion"/>
  </si>
  <si>
    <t>하도급율</t>
    <phoneticPr fontId="2" type="noConversion"/>
  </si>
  <si>
    <t>하도급 시행비율</t>
    <phoneticPr fontId="2" type="noConversion"/>
  </si>
  <si>
    <t>하도금액</t>
    <phoneticPr fontId="2" type="noConversion"/>
  </si>
  <si>
    <t>업체명</t>
    <phoneticPr fontId="2" type="noConversion"/>
  </si>
  <si>
    <t>□ 하도급 시행계획서 제출(1점)</t>
    <phoneticPr fontId="2" type="noConversion"/>
  </si>
  <si>
    <t>점수</t>
    <phoneticPr fontId="2" type="noConversion"/>
  </si>
  <si>
    <t>참여여부</t>
    <phoneticPr fontId="2" type="noConversion"/>
  </si>
  <si>
    <t>중소기업 상생발전(2점)</t>
    <phoneticPr fontId="2" type="noConversion"/>
  </si>
  <si>
    <t>oo엔지니어링</t>
  </si>
  <si>
    <t>＊＊엔지니어링</t>
  </si>
  <si>
    <t>☆☆엔지니어링</t>
  </si>
  <si>
    <t>5. 업무중복도 (10점)</t>
    <phoneticPr fontId="2" type="noConversion"/>
  </si>
  <si>
    <t>사업책임</t>
    <phoneticPr fontId="3" type="noConversion"/>
  </si>
  <si>
    <t>분책소계</t>
  </si>
  <si>
    <t>분참소계</t>
    <phoneticPr fontId="2" type="noConversion"/>
  </si>
  <si>
    <t>실무소계</t>
    <phoneticPr fontId="2" type="noConversion"/>
  </si>
  <si>
    <t>미평가</t>
    <phoneticPr fontId="2" type="noConversion"/>
  </si>
  <si>
    <t>미평가</t>
    <phoneticPr fontId="2" type="noConversion"/>
  </si>
  <si>
    <t>미평가</t>
    <phoneticPr fontId="2" type="noConversion"/>
  </si>
  <si>
    <t>중첩률</t>
    <phoneticPr fontId="3" type="noConversion"/>
  </si>
  <si>
    <t>평점</t>
    <phoneticPr fontId="3" type="noConversion"/>
  </si>
  <si>
    <t>배점기준</t>
    <phoneticPr fontId="3" type="noConversion"/>
  </si>
  <si>
    <t>분야별책임</t>
    <phoneticPr fontId="3" type="noConversion"/>
  </si>
  <si>
    <t>분야별참여</t>
    <phoneticPr fontId="2" type="noConversion"/>
  </si>
  <si>
    <t>분야별실무</t>
    <phoneticPr fontId="2" type="noConversion"/>
  </si>
  <si>
    <t xml:space="preserve">□ 분야별 실무기술자(1점)  </t>
    <phoneticPr fontId="2" type="noConversion"/>
  </si>
  <si>
    <t>입찰공고일</t>
    <phoneticPr fontId="3" type="noConversion"/>
  </si>
  <si>
    <t>입찰공고일</t>
    <phoneticPr fontId="3" type="noConversion"/>
  </si>
  <si>
    <t>입찰공고일</t>
    <phoneticPr fontId="3" type="noConversion"/>
  </si>
  <si>
    <t>입찰공고일</t>
    <phoneticPr fontId="3" type="noConversion"/>
  </si>
  <si>
    <t>입찰공고일</t>
    <phoneticPr fontId="3" type="noConversion"/>
  </si>
  <si>
    <t>입찰공고일</t>
    <phoneticPr fontId="3" type="noConversion"/>
  </si>
  <si>
    <t>면적계수</t>
    <phoneticPr fontId="2" type="noConversion"/>
  </si>
  <si>
    <t>과업면적
(㎡)</t>
    <phoneticPr fontId="2" type="noConversion"/>
  </si>
  <si>
    <t>계약금액
(백만원)</t>
    <phoneticPr fontId="2" type="noConversion"/>
  </si>
  <si>
    <t>용역
준공(예정)일</t>
    <phoneticPr fontId="3" type="noConversion"/>
  </si>
  <si>
    <t>발주청</t>
    <phoneticPr fontId="3" type="noConversion"/>
  </si>
  <si>
    <t>주) 공동도급인 경우에는 업체명과 각 해당 지분율을 입력합니다.</t>
    <phoneticPr fontId="2" type="noConversion"/>
  </si>
  <si>
    <t>과업참여기간이 30일 이상인 용역 참여건의 참여기간(일)을 전체 계약기간 중 실제 참여기간(일)을 365일로 나누어 면적계수를 곱하여 실적건수를 산정합니다.</t>
    <phoneticPr fontId="3" type="noConversion"/>
  </si>
  <si>
    <r>
      <t>□ 중소</t>
    </r>
    <r>
      <rPr>
        <b/>
        <sz val="14"/>
        <rFont val="MingLiU"/>
        <family val="3"/>
        <charset val="136"/>
      </rPr>
      <t>‧</t>
    </r>
    <r>
      <rPr>
        <b/>
        <sz val="14"/>
        <rFont val="돋움"/>
        <family val="3"/>
        <charset val="129"/>
      </rPr>
      <t>신생기업 참여(1점)</t>
    </r>
    <phoneticPr fontId="2" type="noConversion"/>
  </si>
  <si>
    <t>주1)</t>
    <phoneticPr fontId="3" type="noConversion"/>
  </si>
  <si>
    <t>주2)</t>
  </si>
  <si>
    <t>주2)</t>
    <phoneticPr fontId="2" type="noConversion"/>
  </si>
  <si>
    <t>주3)</t>
  </si>
  <si>
    <t>주4)</t>
  </si>
  <si>
    <t>주5)</t>
  </si>
  <si>
    <t>주6)</t>
  </si>
  <si>
    <t>주7)</t>
  </si>
  <si>
    <t>주8)</t>
  </si>
  <si>
    <t>참여기술인 
전문분야 별 비율</t>
    <phoneticPr fontId="2" type="noConversion"/>
  </si>
  <si>
    <t>사업책임기술인</t>
    <phoneticPr fontId="2" type="noConversion"/>
  </si>
  <si>
    <t>분야별 책임기술인</t>
    <phoneticPr fontId="2" type="noConversion"/>
  </si>
  <si>
    <t>분야별 참여기술인</t>
    <phoneticPr fontId="2" type="noConversion"/>
  </si>
  <si>
    <t>분야별책임기술인</t>
    <phoneticPr fontId="2" type="noConversion"/>
  </si>
  <si>
    <t>분야별참여기술인</t>
    <phoneticPr fontId="2" type="noConversion"/>
  </si>
  <si>
    <t>실무기술인</t>
    <phoneticPr fontId="2" type="noConversion"/>
  </si>
  <si>
    <t>Ⅰ.참여
기술인
[50]</t>
    <phoneticPr fontId="2" type="noConversion"/>
  </si>
  <si>
    <t>사업책임기술인 경력</t>
    <phoneticPr fontId="3" type="noConversion"/>
  </si>
  <si>
    <t>용역실적증명서의 참여기술인 명단이 누락 되었거나, 참여기술인 명단에 해당 참여기술인이 누락된 경우에는 해당실적을 인정하지 않습니다.</t>
    <phoneticPr fontId="3" type="noConversion"/>
  </si>
  <si>
    <t>기입란은 행 삽입,삭제가 가능하며, 행삽입,삭제시 실적이 합계에서 누락되지 않도록 반드시 확인(기술인실적 시트) 주의해야 합니다.</t>
    <phoneticPr fontId="2" type="noConversion"/>
  </si>
  <si>
    <t>신고자의 실적에 해당하는 양식을 사용하여 작성합니다. 합계건수가 기술인 시트에 입력되도록 확인합니다.</t>
    <phoneticPr fontId="3" type="noConversion"/>
  </si>
  <si>
    <t>참여기술인이 발주청 및 건설엔지니어링 등 수행한 용역을 기초로 해당 양식을 사용하여 작성합니다.</t>
    <phoneticPr fontId="3" type="noConversion"/>
  </si>
  <si>
    <t>용역실적증명서(원본 또는 사본)를 첨부하고, 실적대조를 위하여 양식에 작성된 연번을 반드시 기재하여 연번 순서대로 제본하여야 합니다.</t>
    <phoneticPr fontId="3" type="noConversion"/>
  </si>
  <si>
    <t>상하수도분야
책임기술인 실적</t>
    <phoneticPr fontId="3" type="noConversion"/>
  </si>
  <si>
    <t>토목구조분야
책임기술인 실적</t>
    <phoneticPr fontId="3" type="noConversion"/>
  </si>
  <si>
    <t>도로및공항분야
책임기술인 실적</t>
    <phoneticPr fontId="3" type="noConversion"/>
  </si>
  <si>
    <t>사업책임기술인 실적</t>
    <phoneticPr fontId="3" type="noConversion"/>
  </si>
  <si>
    <t>도시계획분야
책임기술인 실적</t>
    <phoneticPr fontId="3" type="noConversion"/>
  </si>
  <si>
    <t>토질지질분야
책임기술인 실적</t>
    <phoneticPr fontId="3" type="noConversion"/>
  </si>
  <si>
    <t>도시계획분야
참여기술인 실적</t>
    <phoneticPr fontId="3" type="noConversion"/>
  </si>
  <si>
    <t>토질지질분야
참여기술인 실적</t>
    <phoneticPr fontId="3" type="noConversion"/>
  </si>
  <si>
    <t>도로및공항분야
참여기술인 실적</t>
    <phoneticPr fontId="3" type="noConversion"/>
  </si>
  <si>
    <t>토목구조분야
참여기술인 실적</t>
    <phoneticPr fontId="3" type="noConversion"/>
  </si>
  <si>
    <t>상하수도분야
참여기술인 실적</t>
    <phoneticPr fontId="3" type="noConversion"/>
  </si>
  <si>
    <t>주2)</t>
    <phoneticPr fontId="3" type="noConversion"/>
  </si>
  <si>
    <t>용역에 참여한 기술인(사책,분책) 현황을 기재합니다.</t>
    <phoneticPr fontId="3" type="noConversion"/>
  </si>
  <si>
    <t>사업책임
기술인</t>
    <phoneticPr fontId="2" type="noConversion"/>
  </si>
  <si>
    <t>착수일</t>
    <phoneticPr fontId="2" type="noConversion"/>
  </si>
  <si>
    <t>용역참여기술인 참여율</t>
    <phoneticPr fontId="2" type="noConversion"/>
  </si>
  <si>
    <t>기술인</t>
    <phoneticPr fontId="2" type="noConversion"/>
  </si>
  <si>
    <t>2) 참여기술인 부실벌점</t>
    <phoneticPr fontId="2" type="noConversion"/>
  </si>
  <si>
    <t xml:space="preserve">□ 사업책임기술인(3점)  </t>
    <phoneticPr fontId="2" type="noConversion"/>
  </si>
  <si>
    <t xml:space="preserve">□ 분야별 책임기술인(4점)  </t>
    <phoneticPr fontId="2" type="noConversion"/>
  </si>
  <si>
    <t xml:space="preserve">□ 분야별 참여기술인(2점)  </t>
    <phoneticPr fontId="2" type="noConversion"/>
  </si>
  <si>
    <t>사업책임기술인, 분야별책임기술인 별로 작성합니다.</t>
    <phoneticPr fontId="3" type="noConversion"/>
  </si>
  <si>
    <t>현재 중지중인 용역에 대하여도 모두 기재하시기 바라며, 중복금액합계나 중복적용건수에는 반영하지 않습니다. 
이 경우에 해당시 중지일 및 중지사유 기재. 공사발주완료된 경우는 확인할수 있는 근거서류를 제시한 경우만 인정합니다.</t>
    <phoneticPr fontId="3" type="noConversion"/>
  </si>
  <si>
    <t>기입란이 부족한 경우 행 삽입, 삭제가 가능하며, 행삽입, 삭제시 실적이 합계에서 누락되지 않도록 반드시 확인(중첩도 시트)하여야 합니다</t>
    <phoneticPr fontId="3" type="noConversion"/>
  </si>
  <si>
    <t>○ 사업책임기술인 000(참여업체)</t>
    <phoneticPr fontId="2" type="noConversion"/>
  </si>
  <si>
    <t>○ 토목구조분야 책임기술인   000 (참여업체)</t>
    <phoneticPr fontId="2" type="noConversion"/>
  </si>
  <si>
    <t>○ 도로·공항분야 책임기술인 000 (참여업체)</t>
    <phoneticPr fontId="2" type="noConversion"/>
  </si>
  <si>
    <t>○ 토질·지질분야 책임기술인  000(참여업체)</t>
    <phoneticPr fontId="2" type="noConversion"/>
  </si>
  <si>
    <t>○ 도시계획분야 책임기술인  000(참여업체)</t>
    <phoneticPr fontId="2" type="noConversion"/>
  </si>
  <si>
    <t>○ 상하수도분야 책임기술인   000 (참여업체)</t>
    <phoneticPr fontId="3" type="noConversion"/>
  </si>
  <si>
    <t>○ 도시계획분야 참여기술인  000(참여업체)</t>
    <phoneticPr fontId="2" type="noConversion"/>
  </si>
  <si>
    <t>○ 토질·지질분야 참여기술인  000(참여업체)</t>
    <phoneticPr fontId="2" type="noConversion"/>
  </si>
  <si>
    <t>○ 도로·공항분야 참여기술인 000 (참여업체)</t>
    <phoneticPr fontId="2" type="noConversion"/>
  </si>
  <si>
    <t>○ 토목구조분야 참여기술인   000 (참여업체)</t>
    <phoneticPr fontId="2" type="noConversion"/>
  </si>
  <si>
    <t>○ 상하수도분야 참여기술인   000 (참여업체)</t>
    <phoneticPr fontId="3" type="noConversion"/>
  </si>
  <si>
    <t>○ 도시계획분야 실무기술인  000(참여업체)</t>
    <phoneticPr fontId="2" type="noConversion"/>
  </si>
  <si>
    <t>○ 토질·지질분야 실무기술인  000(참여업체)</t>
    <phoneticPr fontId="2" type="noConversion"/>
  </si>
  <si>
    <t>○ 도로·공항분야 실무기술인 000 (참여업체)</t>
    <phoneticPr fontId="2" type="noConversion"/>
  </si>
  <si>
    <t>○ 토목구조분야 실무기술인   000 (참여업체)</t>
    <phoneticPr fontId="2" type="noConversion"/>
  </si>
  <si>
    <t>○ 상하수도분야 실무기술인   000 (참여업체)</t>
    <phoneticPr fontId="3" type="noConversion"/>
  </si>
  <si>
    <t>현재 중지중인 용역에 대하여도 모두 기재하시기 바라며, 중복금액합계나 중복적용건수에는 반영하지 않습니다. 이 경우에 해당시 중지일 및 중지사유 기재. 공사발주완료된 경우는 확인할수 있는 근거서류를 제시한 경우만 인정합니다.</t>
    <phoneticPr fontId="3" type="noConversion"/>
  </si>
  <si>
    <t>주3)</t>
    <phoneticPr fontId="3" type="noConversion"/>
  </si>
  <si>
    <t>주4)</t>
    <phoneticPr fontId="3" type="noConversion"/>
  </si>
  <si>
    <t>주5)</t>
    <phoneticPr fontId="3" type="noConversion"/>
  </si>
  <si>
    <t>주6)</t>
    <phoneticPr fontId="3" type="noConversion"/>
  </si>
  <si>
    <t>주7)</t>
    <phoneticPr fontId="3" type="noConversion"/>
  </si>
  <si>
    <t>영향평가, 기본 및 실시설계, 실시계획 등의 유사용역 외의 실적에 해당금액은 유사용역 제외금액에 입력합니다.</t>
    <phoneticPr fontId="3" type="noConversion"/>
  </si>
  <si>
    <t xml:space="preserve">업체의 실적금액은 금번 시행하는 용역의 지침상 인정하는 범위에 해당하는 금액만을 실적으로 인정합니다. 
발주청에서 시행한 지구단위계획용역 또는 과업내용 중 지구단위계획이 포함된 용역으로서 기본계획, 개발계획용역을 같이 수행한 경우에는 기본계획, 개발계획의 실적금액(설계관련 실적제외)을 모두 인정합니다.
단, 과업포함여부 확인은 발주청에서 발급한 실적증명서 상 과업내용으로 명확하게 명시된 경우에 한하여 인정합니다. </t>
    <phoneticPr fontId="3" type="noConversion"/>
  </si>
  <si>
    <t>위 양식은 단지조성공사 설계용역에 해당하며, 2.1억원 실적기준이 적용되지 않는 용역의 경우에는 양식을 수정하여 작성바랍니다. 단, 최종 점수 셀은 유지해야 점수가 합산되오니 주의 바랍니다.</t>
    <phoneticPr fontId="3" type="noConversion"/>
  </si>
  <si>
    <t>참여기술인 교육실적</t>
    <phoneticPr fontId="2" type="noConversion"/>
  </si>
  <si>
    <t>00 택지개발사업 조사설계용역</t>
    <phoneticPr fontId="2" type="noConversion"/>
  </si>
  <si>
    <t>업체별 점수</t>
    <phoneticPr fontId="2" type="noConversion"/>
  </si>
  <si>
    <t>평가일</t>
    <phoneticPr fontId="2" type="noConversion"/>
  </si>
  <si>
    <t>점수</t>
    <phoneticPr fontId="2" type="noConversion"/>
  </si>
  <si>
    <t>평가 (업체별 점수 × 지분율 합산)</t>
    <phoneticPr fontId="2" type="noConversion"/>
  </si>
  <si>
    <t>3. 만약 평가지침과 본 평가표 양식의 차이가 발생할 시에는 평가지침의 내용을 따릅니다.</t>
    <phoneticPr fontId="2" type="noConversion"/>
  </si>
  <si>
    <t xml:space="preserve">5. 평가부서에서는 업체에서 제출한 작성표를 근거로 관련 증빙자료 검증 후 점수를 조정할 수 있습니다. </t>
    <phoneticPr fontId="2" type="noConversion"/>
  </si>
  <si>
    <t>8. 추가로 증빙자료의 총괄 설명이 필요할시에는 임의양식으로 작성제출 하시기 바랍니다.</t>
    <phoneticPr fontId="2" type="noConversion"/>
  </si>
  <si>
    <t>사업수행능력평가표 작성 요령</t>
    <phoneticPr fontId="2" type="noConversion"/>
  </si>
  <si>
    <t>단지조성 등 설계용역 (용역명 기재)</t>
    <phoneticPr fontId="2" type="noConversion"/>
  </si>
  <si>
    <t>건설기술인
신규고용률</t>
    <phoneticPr fontId="2" type="noConversion"/>
  </si>
  <si>
    <t>상위(하위)업체</t>
    <phoneticPr fontId="2" type="noConversion"/>
  </si>
  <si>
    <t>상위업체</t>
    <phoneticPr fontId="2" type="noConversion"/>
  </si>
  <si>
    <t>건설기술자
신규고용률</t>
    <phoneticPr fontId="2" type="noConversion"/>
  </si>
  <si>
    <t>상위(하위)
용역업자</t>
    <phoneticPr fontId="2" type="noConversion"/>
  </si>
  <si>
    <t>1. 등급 및 사업책임
   기술인 능력(QBS)</t>
    <phoneticPr fontId="2" type="noConversion"/>
  </si>
  <si>
    <r>
      <t xml:space="preserve">4. '배점'시트는 평가점수산정시 필요한 기준들을 기입한 시트로 참고만 합니다. 
</t>
    </r>
    <r>
      <rPr>
        <sz val="12"/>
        <color indexed="10"/>
        <rFont val="돋움"/>
        <family val="3"/>
        <charset val="129"/>
      </rPr>
      <t xml:space="preserve">    단, 기술제안서(기술자평가서) 평가 및 QBS 미평가시 사업책임기술자의 관련 항목 배점은 조정합니다. </t>
    </r>
    <phoneticPr fontId="2" type="noConversion"/>
  </si>
  <si>
    <t>6. 엑셀수식오류 및 입찰업체의 양식임의변경으로 발생될 수 있는 오류에 대하여는 우리공사에서 책임지지 않으며, 입찰업체 산정점수와 
    엑셀산출점수를 확인 후 제출바랍니다. 개선사항이 있으면 아래 연락처로 연락바랍니다.</t>
    <phoneticPr fontId="2" type="noConversion"/>
  </si>
  <si>
    <t>7. 본 엑셀양식은 가로인쇄로 작성되어 있으며 인쇄후 평가서 제본시에는 접지않고 세로로 편철하여 제출하시기 바랍니다.</t>
    <phoneticPr fontId="2" type="noConversion"/>
  </si>
  <si>
    <t>9. 엑셀서식오류 등 작성양식과 관련된 문의사항은 LH 본사 공정심사처 (055-922-5749, 5750)로 문의 바랍니다.</t>
    <phoneticPr fontId="2" type="noConversion"/>
  </si>
  <si>
    <t>젊은기술인 참여</t>
    <phoneticPr fontId="2" type="noConversion"/>
  </si>
  <si>
    <t>젊은기술인 참여</t>
    <phoneticPr fontId="2" type="noConversion"/>
  </si>
  <si>
    <t>조경분야
책임기술인 실적</t>
    <phoneticPr fontId="3" type="noConversion"/>
  </si>
  <si>
    <t>조경분야
참여기술인 실적</t>
    <phoneticPr fontId="3" type="noConversion"/>
  </si>
  <si>
    <t>구분</t>
    <phoneticPr fontId="2" type="noConversion"/>
  </si>
  <si>
    <t>조경 책임</t>
    <phoneticPr fontId="2" type="noConversion"/>
  </si>
  <si>
    <t>ooo</t>
    <phoneticPr fontId="2" type="noConversion"/>
  </si>
  <si>
    <t>조경 참여</t>
    <phoneticPr fontId="2" type="noConversion"/>
  </si>
  <si>
    <t>(13/13)×1 = 1.0</t>
    <phoneticPr fontId="2" type="noConversion"/>
  </si>
  <si>
    <t>           2주이상교육자                                                                                                               (13)인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</si>
</sst>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1" formatCode="_-* #,##0_-;\-* #,##0_-;_-* &quot;-&quot;_-;_-@_-"/>
    <numFmt numFmtId="43" formatCode="_-* #,##0.00_-;\-* #,##0.00_-;_-* &quot;-&quot;??_-;_-@_-"/>
    <numFmt numFmtId="176" formatCode="0.0_ "/>
    <numFmt numFmtId="177" formatCode="0.00_ "/>
    <numFmt numFmtId="178" formatCode="0.0%"/>
    <numFmt numFmtId="179" formatCode="_-* #,##0.0_-;\-* #,##0.0_-;_-* &quot;-&quot;_-;_-@_-"/>
    <numFmt numFmtId="180" formatCode="_-* #,##0.00_-;\-* #,##0.00_-;_-* &quot;-&quot;_-;_-@_-"/>
    <numFmt numFmtId="181" formatCode="General&quot;년이상&quot;"/>
    <numFmt numFmtId="182" formatCode="General&quot;건이상&quot;"/>
    <numFmt numFmtId="183" formatCode="General&quot;건미만&quot;"/>
    <numFmt numFmtId="184" formatCode="General&quot;년미만&quot;"/>
    <numFmt numFmtId="185" formatCode="General&quot;억이상&quot;"/>
    <numFmt numFmtId="186" formatCode="_-* #,##0.00_-;\-* #,##0.00_-;_-* &quot;-&quot;?_-;_-@_-"/>
    <numFmt numFmtId="187" formatCode="General&quot;명&quot;"/>
    <numFmt numFmtId="188" formatCode="General&quot;건&quot;"/>
    <numFmt numFmtId="189" formatCode="0_);[Red]\(0\)"/>
    <numFmt numFmtId="190" formatCode="0.0_);[Red]\(0.0\)"/>
    <numFmt numFmtId="191" formatCode="0.00_);[Red]\(0.00\)"/>
    <numFmt numFmtId="192" formatCode="General&quot;이상&quot;"/>
    <numFmt numFmtId="193" formatCode="#,##0_ "/>
    <numFmt numFmtId="194" formatCode="#,##0.00_ "/>
    <numFmt numFmtId="195" formatCode="#,##0;[Black]#,##0"/>
    <numFmt numFmtId="196" formatCode="#,##0.00;[Black]#,##0.00"/>
    <numFmt numFmtId="197" formatCode="yy&quot;년&quot;/mm&quot;월&quot;"/>
    <numFmt numFmtId="198" formatCode="0.00&quot;건&quot;"/>
    <numFmt numFmtId="199" formatCode="0%&quot;이&quot;&quot;상&quot;"/>
    <numFmt numFmtId="200" formatCode="0%&quot;미&quot;&quot;만&quot;"/>
    <numFmt numFmtId="201" formatCode="#,##0&quot;㎡&quot;"/>
    <numFmt numFmtId="202" formatCode="#,##0&quot;천&quot;&quot;원&quot;"/>
    <numFmt numFmtId="203" formatCode="#,##0&quot;만㎡&quot;"/>
    <numFmt numFmtId="204" formatCode="0.0&quot;건&quot;"/>
    <numFmt numFmtId="205" formatCode="yy&quot;-&quot;mm&quot;-&quot;dd"/>
    <numFmt numFmtId="206" formatCode="#,##0.00_);[Red]\(#,##0.00\)"/>
    <numFmt numFmtId="207" formatCode="00&quot;개&quot;&quot;월&quot;"/>
    <numFmt numFmtId="208" formatCode="0.00;_가"/>
    <numFmt numFmtId="209" formatCode="00.00&quot;개&quot;&quot;월&quot;"/>
    <numFmt numFmtId="210" formatCode="0_ "/>
    <numFmt numFmtId="211" formatCode="0.00%&quot;이상&quot;"/>
    <numFmt numFmtId="212" formatCode="0%&quot;이상&quot;"/>
    <numFmt numFmtId="213" formatCode="0.00&quot;점&quot;"/>
    <numFmt numFmtId="214" formatCode="0&quot;점&quot;"/>
    <numFmt numFmtId="215" formatCode="0%&quot;이&quot;&quot;하&quot;"/>
    <numFmt numFmtId="216" formatCode="0%&quot;초&quot;&quot;과&quot;"/>
    <numFmt numFmtId="217" formatCode="General&quot;점이상&quot;"/>
    <numFmt numFmtId="218" formatCode="General&quot;점미만&quot;"/>
    <numFmt numFmtId="219" formatCode="#,##0.0_ "/>
  </numFmts>
  <fonts count="4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b/>
      <sz val="8"/>
      <name val="돋움"/>
      <family val="3"/>
      <charset val="129"/>
    </font>
    <font>
      <b/>
      <sz val="7"/>
      <name val="돋움"/>
      <family val="3"/>
      <charset val="129"/>
    </font>
    <font>
      <sz val="7"/>
      <name val="돋움"/>
      <family val="3"/>
      <charset val="129"/>
    </font>
    <font>
      <b/>
      <sz val="8"/>
      <color indexed="10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2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color indexed="10"/>
      <name val="돋움"/>
      <family val="3"/>
      <charset val="129"/>
    </font>
    <font>
      <sz val="9.5"/>
      <name val="돋움"/>
      <family val="3"/>
      <charset val="129"/>
    </font>
    <font>
      <sz val="8"/>
      <name val="맑은 고딕"/>
      <family val="2"/>
    </font>
    <font>
      <sz val="8.5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theme="1"/>
      <name val="맑은 고딕"/>
      <family val="2"/>
      <scheme val="minor"/>
    </font>
    <font>
      <b/>
      <sz val="14"/>
      <name val="MingLiU"/>
      <family val="3"/>
      <charset val="136"/>
    </font>
    <font>
      <sz val="12"/>
      <color rgb="FF0000FF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8"/>
      <name val="돋움"/>
      <family val="3"/>
      <charset val="129"/>
    </font>
    <font>
      <b/>
      <sz val="16"/>
      <name val="돋움"/>
      <family val="3"/>
      <charset val="129"/>
    </font>
    <font>
      <sz val="16"/>
      <name val="돋움"/>
      <family val="3"/>
      <charset val="129"/>
    </font>
    <font>
      <sz val="13"/>
      <name val="돋움"/>
      <family val="3"/>
      <charset val="129"/>
    </font>
    <font>
      <sz val="10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3"/>
      <name val="돋움"/>
      <family val="3"/>
      <charset val="129"/>
    </font>
    <font>
      <sz val="14"/>
      <name val="돋움"/>
      <family val="3"/>
      <charset val="129"/>
    </font>
    <font>
      <sz val="13"/>
      <color indexed="8"/>
      <name val="돋움"/>
      <family val="3"/>
      <charset val="129"/>
    </font>
    <font>
      <b/>
      <sz val="13"/>
      <color indexed="8"/>
      <name val="돋움"/>
      <family val="3"/>
      <charset val="129"/>
    </font>
    <font>
      <sz val="8.8000000000000007"/>
      <color indexed="8"/>
      <name val="돋움"/>
      <family val="3"/>
      <charset val="129"/>
    </font>
    <font>
      <b/>
      <sz val="13"/>
      <color indexed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sz val="12"/>
      <color indexed="63"/>
      <name val="돋움"/>
      <family val="3"/>
      <charset val="129"/>
    </font>
    <font>
      <sz val="12"/>
      <color indexed="8"/>
      <name val="돋움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76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/>
  </cellStyleXfs>
  <cellXfs count="1200">
    <xf numFmtId="0" fontId="0" fillId="0" borderId="0" xfId="0">
      <alignment vertical="center"/>
    </xf>
    <xf numFmtId="0" fontId="4" fillId="0" borderId="19" xfId="2" applyNumberFormat="1" applyFont="1" applyFill="1" applyBorder="1" applyAlignment="1">
      <alignment vertical="center"/>
    </xf>
    <xf numFmtId="0" fontId="5" fillId="0" borderId="19" xfId="2" applyNumberFormat="1" applyFont="1" applyFill="1" applyBorder="1" applyAlignment="1"/>
    <xf numFmtId="0" fontId="5" fillId="0" borderId="0" xfId="2" applyNumberFormat="1" applyFont="1" applyFill="1" applyBorder="1" applyAlignment="1"/>
    <xf numFmtId="177" fontId="5" fillId="0" borderId="0" xfId="7" applyNumberFormat="1" applyFont="1" applyBorder="1" applyAlignment="1">
      <alignment horizontal="left" vertical="top"/>
    </xf>
    <xf numFmtId="0" fontId="5" fillId="0" borderId="19" xfId="7" applyFont="1" applyBorder="1" applyAlignment="1">
      <alignment horizontal="left" vertical="top"/>
    </xf>
    <xf numFmtId="0" fontId="5" fillId="0" borderId="0" xfId="7" applyFont="1" applyBorder="1" applyAlignment="1">
      <alignment horizontal="left" vertical="top"/>
    </xf>
    <xf numFmtId="0" fontId="5" fillId="0" borderId="20" xfId="7" applyFont="1" applyBorder="1" applyAlignment="1">
      <alignment horizontal="left" vertical="top"/>
    </xf>
    <xf numFmtId="0" fontId="7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top"/>
    </xf>
    <xf numFmtId="0" fontId="8" fillId="0" borderId="0" xfId="7" applyFont="1" applyBorder="1" applyAlignment="1">
      <alignment horizontal="center" vertical="center"/>
    </xf>
    <xf numFmtId="41" fontId="8" fillId="0" borderId="0" xfId="2" applyFont="1" applyFill="1" applyBorder="1" applyAlignment="1">
      <alignment horizontal="right" vertical="center"/>
    </xf>
    <xf numFmtId="177" fontId="8" fillId="0" borderId="0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20" xfId="7" applyFont="1" applyBorder="1" applyAlignment="1">
      <alignment vertical="center"/>
    </xf>
    <xf numFmtId="49" fontId="8" fillId="0" borderId="20" xfId="7" applyNumberFormat="1" applyFont="1" applyBorder="1" applyAlignment="1">
      <alignment horizontal="center" vertical="center"/>
    </xf>
    <xf numFmtId="41" fontId="8" fillId="0" borderId="20" xfId="2" applyFont="1" applyBorder="1" applyAlignment="1">
      <alignment horizontal="right" vertical="center"/>
    </xf>
    <xf numFmtId="41" fontId="8" fillId="0" borderId="0" xfId="2" applyFont="1" applyBorder="1" applyAlignment="1">
      <alignment horizontal="right" vertical="center"/>
    </xf>
    <xf numFmtId="0" fontId="8" fillId="0" borderId="20" xfId="7" applyFont="1" applyBorder="1" applyAlignment="1">
      <alignment horizontal="center" vertical="center"/>
    </xf>
    <xf numFmtId="0" fontId="8" fillId="0" borderId="22" xfId="7" applyFont="1" applyBorder="1" applyAlignment="1">
      <alignment vertical="center"/>
    </xf>
    <xf numFmtId="49" fontId="8" fillId="0" borderId="22" xfId="7" applyNumberFormat="1" applyFont="1" applyBorder="1" applyAlignment="1">
      <alignment horizontal="center" vertical="center"/>
    </xf>
    <xf numFmtId="49" fontId="8" fillId="0" borderId="0" xfId="7" applyNumberFormat="1" applyFont="1" applyBorder="1" applyAlignment="1">
      <alignment horizontal="center" vertical="center"/>
    </xf>
    <xf numFmtId="49" fontId="8" fillId="0" borderId="23" xfId="7" applyNumberFormat="1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4" fillId="0" borderId="19" xfId="2" applyNumberFormat="1" applyFont="1" applyFill="1" applyBorder="1" applyAlignment="1">
      <alignment horizontal="center" vertical="center"/>
    </xf>
    <xf numFmtId="41" fontId="8" fillId="0" borderId="0" xfId="2" applyFont="1" applyFill="1" applyBorder="1" applyAlignment="1">
      <alignment horizontal="center" vertical="center"/>
    </xf>
    <xf numFmtId="0" fontId="8" fillId="0" borderId="0" xfId="7" applyFont="1" applyBorder="1" applyAlignment="1">
      <alignment vertical="center"/>
    </xf>
    <xf numFmtId="49" fontId="4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0" fontId="2" fillId="0" borderId="0" xfId="7" applyFont="1" applyFill="1" applyBorder="1" applyAlignment="1">
      <alignment horizontal="center" vertical="center"/>
    </xf>
    <xf numFmtId="41" fontId="6" fillId="0" borderId="0" xfId="2" applyFont="1" applyFill="1" applyBorder="1" applyAlignment="1">
      <alignment horizontal="center" vertical="center"/>
    </xf>
    <xf numFmtId="49" fontId="2" fillId="0" borderId="0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horizontal="left" vertical="center"/>
    </xf>
    <xf numFmtId="49" fontId="11" fillId="0" borderId="0" xfId="7" applyNumberFormat="1" applyFont="1" applyBorder="1" applyAlignment="1">
      <alignment vertical="center"/>
    </xf>
    <xf numFmtId="49" fontId="11" fillId="0" borderId="0" xfId="7" applyNumberFormat="1" applyFont="1" applyBorder="1" applyAlignment="1">
      <alignment horizontal="center" vertical="center"/>
    </xf>
    <xf numFmtId="49" fontId="11" fillId="0" borderId="0" xfId="2" applyNumberFormat="1" applyFont="1" applyBorder="1" applyAlignment="1">
      <alignment horizontal="right" vertical="center"/>
    </xf>
    <xf numFmtId="41" fontId="8" fillId="0" borderId="20" xfId="2" applyFont="1" applyBorder="1" applyAlignment="1">
      <alignment horizontal="center" vertical="center"/>
    </xf>
    <xf numFmtId="49" fontId="12" fillId="0" borderId="0" xfId="7" applyNumberFormat="1" applyFont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41" fontId="2" fillId="0" borderId="0" xfId="2" applyFont="1" applyFill="1" applyBorder="1" applyAlignment="1">
      <alignment horizontal="center" vertical="center"/>
    </xf>
    <xf numFmtId="193" fontId="9" fillId="0" borderId="0" xfId="2" applyNumberFormat="1" applyFont="1" applyFill="1" applyBorder="1" applyAlignment="1">
      <alignment horizontal="center" vertical="center"/>
    </xf>
    <xf numFmtId="193" fontId="9" fillId="0" borderId="0" xfId="2" applyNumberFormat="1" applyFont="1" applyFill="1" applyBorder="1" applyAlignment="1">
      <alignment vertical="center"/>
    </xf>
    <xf numFmtId="194" fontId="9" fillId="0" borderId="0" xfId="7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vertical="center"/>
    </xf>
    <xf numFmtId="49" fontId="10" fillId="0" borderId="0" xfId="7" applyNumberFormat="1" applyFont="1" applyBorder="1" applyAlignment="1">
      <alignment horizontal="right" vertical="center"/>
    </xf>
    <xf numFmtId="0" fontId="12" fillId="0" borderId="0" xfId="7" applyFont="1" applyBorder="1" applyAlignment="1">
      <alignment horizontal="center" vertical="center" wrapText="1"/>
    </xf>
    <xf numFmtId="0" fontId="11" fillId="0" borderId="0" xfId="7" applyFont="1" applyBorder="1" applyAlignment="1">
      <alignment horizontal="center" vertical="top" wrapText="1"/>
    </xf>
    <xf numFmtId="0" fontId="8" fillId="0" borderId="0" xfId="7" applyFont="1" applyBorder="1" applyAlignment="1">
      <alignment horizontal="center" vertical="top" wrapText="1"/>
    </xf>
    <xf numFmtId="0" fontId="11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 wrapText="1"/>
    </xf>
    <xf numFmtId="0" fontId="11" fillId="2" borderId="31" xfId="7" applyFont="1" applyFill="1" applyBorder="1" applyAlignment="1">
      <alignment horizontal="center" vertical="center" wrapText="1"/>
    </xf>
    <xf numFmtId="0" fontId="11" fillId="2" borderId="18" xfId="7" applyFont="1" applyFill="1" applyBorder="1" applyAlignment="1">
      <alignment vertical="center" wrapText="1"/>
    </xf>
    <xf numFmtId="41" fontId="11" fillId="2" borderId="18" xfId="2" applyFont="1" applyFill="1" applyBorder="1" applyAlignment="1">
      <alignment vertical="center" wrapText="1"/>
    </xf>
    <xf numFmtId="193" fontId="11" fillId="0" borderId="18" xfId="2" applyNumberFormat="1" applyFont="1" applyBorder="1" applyAlignment="1">
      <alignment horizontal="right" vertical="center" wrapText="1"/>
    </xf>
    <xf numFmtId="177" fontId="14" fillId="0" borderId="0" xfId="7" applyNumberFormat="1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/>
    </xf>
    <xf numFmtId="0" fontId="11" fillId="0" borderId="0" xfId="7" applyFont="1" applyBorder="1" applyAlignment="1">
      <alignment vertical="center"/>
    </xf>
    <xf numFmtId="41" fontId="11" fillId="0" borderId="0" xfId="2" applyFont="1" applyBorder="1" applyAlignment="1">
      <alignment horizontal="right" vertical="center"/>
    </xf>
    <xf numFmtId="177" fontId="11" fillId="0" borderId="0" xfId="7" applyNumberFormat="1" applyFont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vertical="center" wrapText="1"/>
    </xf>
    <xf numFmtId="41" fontId="11" fillId="0" borderId="0" xfId="2" applyFont="1" applyFill="1" applyBorder="1" applyAlignment="1">
      <alignment wrapText="1"/>
    </xf>
    <xf numFmtId="0" fontId="11" fillId="0" borderId="0" xfId="2" applyNumberFormat="1" applyFont="1" applyFill="1" applyBorder="1" applyAlignment="1">
      <alignment wrapText="1"/>
    </xf>
    <xf numFmtId="0" fontId="11" fillId="0" borderId="0" xfId="7" applyFont="1" applyBorder="1" applyAlignment="1">
      <alignment horizontal="left" vertical="top" wrapText="1"/>
    </xf>
    <xf numFmtId="177" fontId="11" fillId="0" borderId="0" xfId="7" applyNumberFormat="1" applyFont="1" applyBorder="1" applyAlignment="1">
      <alignment horizontal="left" vertical="top" wrapText="1"/>
    </xf>
    <xf numFmtId="41" fontId="11" fillId="0" borderId="0" xfId="2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horizontal="right" vertical="center"/>
    </xf>
    <xf numFmtId="41" fontId="11" fillId="0" borderId="0" xfId="2" applyFont="1" applyBorder="1" applyAlignment="1">
      <alignment horizontal="center" vertical="center"/>
    </xf>
    <xf numFmtId="14" fontId="11" fillId="2" borderId="18" xfId="7" applyNumberFormat="1" applyFont="1" applyFill="1" applyBorder="1" applyAlignment="1" applyProtection="1">
      <alignment horizontal="center" vertical="center" wrapText="1"/>
      <protection locked="0"/>
    </xf>
    <xf numFmtId="193" fontId="11" fillId="2" borderId="18" xfId="2" applyNumberFormat="1" applyFont="1" applyFill="1" applyBorder="1" applyAlignment="1">
      <alignment horizontal="center" vertical="center" wrapText="1"/>
    </xf>
    <xf numFmtId="49" fontId="11" fillId="0" borderId="0" xfId="7" applyNumberFormat="1" applyFont="1" applyBorder="1" applyAlignment="1">
      <alignment horizontal="right" vertical="center"/>
    </xf>
    <xf numFmtId="189" fontId="11" fillId="0" borderId="0" xfId="7" applyNumberFormat="1" applyFont="1" applyBorder="1" applyAlignment="1">
      <alignment horizontal="center" vertical="center"/>
    </xf>
    <xf numFmtId="189" fontId="11" fillId="0" borderId="0" xfId="2" applyNumberFormat="1" applyFont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9" fontId="11" fillId="2" borderId="18" xfId="7" applyNumberFormat="1" applyFont="1" applyFill="1" applyBorder="1" applyAlignment="1">
      <alignment horizontal="center" vertical="center"/>
    </xf>
    <xf numFmtId="41" fontId="11" fillId="2" borderId="18" xfId="7" applyNumberFormat="1" applyFont="1" applyFill="1" applyBorder="1" applyAlignment="1">
      <alignment horizontal="center" vertical="center"/>
    </xf>
    <xf numFmtId="41" fontId="11" fillId="2" borderId="18" xfId="1" applyNumberFormat="1" applyFont="1" applyFill="1" applyBorder="1" applyAlignment="1">
      <alignment horizontal="center" vertical="center"/>
    </xf>
    <xf numFmtId="179" fontId="11" fillId="0" borderId="18" xfId="7" applyNumberFormat="1" applyFont="1" applyFill="1" applyBorder="1" applyAlignment="1" applyProtection="1">
      <alignment vertical="center"/>
      <protection locked="0"/>
    </xf>
    <xf numFmtId="179" fontId="11" fillId="0" borderId="18" xfId="7" applyNumberFormat="1" applyFont="1" applyBorder="1" applyAlignment="1" applyProtection="1">
      <alignment vertical="center"/>
      <protection locked="0"/>
    </xf>
    <xf numFmtId="180" fontId="11" fillId="0" borderId="18" xfId="7" applyNumberFormat="1" applyFont="1" applyBorder="1" applyAlignment="1" applyProtection="1">
      <alignment vertical="center"/>
      <protection locked="0"/>
    </xf>
    <xf numFmtId="0" fontId="11" fillId="0" borderId="33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top"/>
    </xf>
    <xf numFmtId="0" fontId="11" fillId="0" borderId="34" xfId="7" applyFont="1" applyBorder="1" applyAlignment="1">
      <alignment horizontal="center" vertical="center"/>
    </xf>
    <xf numFmtId="0" fontId="11" fillId="0" borderId="20" xfId="7" applyFont="1" applyBorder="1" applyAlignment="1">
      <alignment vertical="center"/>
    </xf>
    <xf numFmtId="49" fontId="11" fillId="0" borderId="20" xfId="7" applyNumberFormat="1" applyFont="1" applyBorder="1" applyAlignment="1">
      <alignment horizontal="center" vertical="center"/>
    </xf>
    <xf numFmtId="9" fontId="11" fillId="2" borderId="18" xfId="1" applyFont="1" applyFill="1" applyBorder="1" applyAlignment="1">
      <alignment horizontal="center" vertical="center"/>
    </xf>
    <xf numFmtId="189" fontId="11" fillId="2" borderId="18" xfId="7" applyNumberFormat="1" applyFont="1" applyFill="1" applyBorder="1" applyAlignment="1" applyProtection="1">
      <alignment horizontal="center" vertical="center"/>
      <protection locked="0"/>
    </xf>
    <xf numFmtId="14" fontId="11" fillId="2" borderId="18" xfId="7" applyNumberFormat="1" applyFont="1" applyFill="1" applyBorder="1" applyAlignment="1" applyProtection="1">
      <alignment vertical="center"/>
      <protection locked="0"/>
    </xf>
    <xf numFmtId="197" fontId="11" fillId="2" borderId="18" xfId="2" applyNumberFormat="1" applyFont="1" applyFill="1" applyBorder="1" applyAlignment="1">
      <alignment vertical="center"/>
    </xf>
    <xf numFmtId="197" fontId="11" fillId="2" borderId="18" xfId="2" applyNumberFormat="1" applyFont="1" applyFill="1" applyBorder="1" applyAlignment="1">
      <alignment horizontal="center" vertical="center"/>
    </xf>
    <xf numFmtId="189" fontId="11" fillId="2" borderId="18" xfId="7" applyNumberFormat="1" applyFont="1" applyFill="1" applyBorder="1" applyAlignment="1" applyProtection="1">
      <alignment vertical="center"/>
      <protection locked="0"/>
    </xf>
    <xf numFmtId="41" fontId="11" fillId="0" borderId="20" xfId="2" applyFont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horizontal="center" vertical="center"/>
    </xf>
    <xf numFmtId="49" fontId="11" fillId="0" borderId="0" xfId="2" applyNumberFormat="1" applyFont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0" borderId="19" xfId="2" applyNumberFormat="1" applyFont="1" applyFill="1" applyBorder="1" applyAlignment="1">
      <alignment horizontal="left" vertical="center"/>
    </xf>
    <xf numFmtId="189" fontId="11" fillId="0" borderId="18" xfId="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top"/>
    </xf>
    <xf numFmtId="0" fontId="12" fillId="4" borderId="81" xfId="7" applyFont="1" applyFill="1" applyBorder="1" applyAlignment="1">
      <alignment horizontal="center" vertical="center" wrapText="1"/>
    </xf>
    <xf numFmtId="0" fontId="12" fillId="4" borderId="108" xfId="7" applyFont="1" applyFill="1" applyBorder="1" applyAlignment="1">
      <alignment horizontal="center" vertical="center" wrapText="1"/>
    </xf>
    <xf numFmtId="0" fontId="12" fillId="4" borderId="60" xfId="7" applyFont="1" applyFill="1" applyBorder="1" applyAlignment="1">
      <alignment horizontal="center" vertical="center" wrapText="1"/>
    </xf>
    <xf numFmtId="0" fontId="12" fillId="4" borderId="109" xfId="7" applyFont="1" applyFill="1" applyBorder="1" applyAlignment="1">
      <alignment horizontal="center" vertical="center" wrapText="1"/>
    </xf>
    <xf numFmtId="49" fontId="12" fillId="4" borderId="109" xfId="7" applyNumberFormat="1" applyFont="1" applyFill="1" applyBorder="1" applyAlignment="1">
      <alignment horizontal="center" vertical="center" wrapText="1"/>
    </xf>
    <xf numFmtId="0" fontId="12" fillId="4" borderId="100" xfId="7" applyFont="1" applyFill="1" applyBorder="1" applyAlignment="1">
      <alignment horizontal="center" vertical="center" wrapText="1"/>
    </xf>
    <xf numFmtId="0" fontId="12" fillId="4" borderId="99" xfId="7" applyFont="1" applyFill="1" applyBorder="1" applyAlignment="1">
      <alignment horizontal="center" vertical="center" wrapText="1"/>
    </xf>
    <xf numFmtId="180" fontId="11" fillId="5" borderId="18" xfId="7" applyNumberFormat="1" applyFont="1" applyFill="1" applyBorder="1" applyAlignment="1" applyProtection="1">
      <alignment vertical="center"/>
      <protection locked="0"/>
    </xf>
    <xf numFmtId="180" fontId="11" fillId="5" borderId="61" xfId="7" applyNumberFormat="1" applyFont="1" applyFill="1" applyBorder="1" applyAlignment="1">
      <alignment vertical="center"/>
    </xf>
    <xf numFmtId="0" fontId="11" fillId="2" borderId="18" xfId="7" applyFont="1" applyFill="1" applyBorder="1" applyAlignment="1">
      <alignment vertical="center" shrinkToFit="1"/>
    </xf>
    <xf numFmtId="14" fontId="11" fillId="2" borderId="18" xfId="1" applyNumberFormat="1" applyFont="1" applyFill="1" applyBorder="1" applyAlignment="1">
      <alignment horizontal="center" vertical="center" wrapText="1"/>
    </xf>
    <xf numFmtId="0" fontId="11" fillId="2" borderId="18" xfId="7" applyFont="1" applyFill="1" applyBorder="1" applyAlignment="1">
      <alignment horizontal="left" vertical="center" wrapText="1" shrinkToFi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 wrapText="1"/>
    </xf>
    <xf numFmtId="205" fontId="11" fillId="2" borderId="18" xfId="0" applyNumberFormat="1" applyFont="1" applyFill="1" applyBorder="1" applyAlignment="1">
      <alignment horizontal="center" vertical="center"/>
    </xf>
    <xf numFmtId="195" fontId="11" fillId="2" borderId="18" xfId="2" applyNumberFormat="1" applyFont="1" applyFill="1" applyBorder="1" applyAlignment="1">
      <alignment horizontal="right" vertical="center" wrapText="1"/>
    </xf>
    <xf numFmtId="206" fontId="11" fillId="2" borderId="18" xfId="0" applyNumberFormat="1" applyFont="1" applyFill="1" applyBorder="1" applyAlignment="1">
      <alignment horizontal="right" vertical="center"/>
    </xf>
    <xf numFmtId="0" fontId="11" fillId="2" borderId="30" xfId="7" applyFont="1" applyFill="1" applyBorder="1" applyAlignment="1">
      <alignment horizontal="left" vertical="center" wrapText="1"/>
    </xf>
    <xf numFmtId="0" fontId="11" fillId="2" borderId="18" xfId="7" applyFont="1" applyFill="1" applyBorder="1" applyAlignment="1">
      <alignment horizontal="left" vertical="center" wrapText="1"/>
    </xf>
    <xf numFmtId="193" fontId="11" fillId="7" borderId="138" xfId="2" applyNumberFormat="1" applyFont="1" applyFill="1" applyBorder="1" applyAlignment="1">
      <alignment horizontal="center" vertical="center" wrapText="1"/>
    </xf>
    <xf numFmtId="193" fontId="13" fillId="5" borderId="139" xfId="2" applyNumberFormat="1" applyFont="1" applyFill="1" applyBorder="1" applyAlignment="1">
      <alignment horizontal="right" vertical="center" wrapText="1"/>
    </xf>
    <xf numFmtId="0" fontId="11" fillId="0" borderId="140" xfId="7" applyFont="1" applyBorder="1" applyAlignment="1">
      <alignment horizontal="center" vertical="top" wrapText="1"/>
    </xf>
    <xf numFmtId="0" fontId="11" fillId="0" borderId="0" xfId="2" applyNumberFormat="1" applyFont="1" applyFill="1" applyBorder="1" applyAlignment="1">
      <alignment horizontal="center"/>
    </xf>
    <xf numFmtId="196" fontId="11" fillId="0" borderId="33" xfId="2" applyNumberFormat="1" applyFont="1" applyBorder="1" applyAlignment="1">
      <alignment horizontal="right" vertical="center"/>
    </xf>
    <xf numFmtId="196" fontId="11" fillId="5" borderId="33" xfId="2" applyNumberFormat="1" applyFont="1" applyFill="1" applyBorder="1" applyAlignment="1">
      <alignment horizontal="right" vertical="center"/>
    </xf>
    <xf numFmtId="196" fontId="11" fillId="5" borderId="34" xfId="2" applyNumberFormat="1" applyFont="1" applyFill="1" applyBorder="1" applyAlignment="1">
      <alignment horizontal="right" vertical="center"/>
    </xf>
    <xf numFmtId="9" fontId="11" fillId="2" borderId="18" xfId="1" applyFont="1" applyFill="1" applyBorder="1" applyAlignment="1">
      <alignment horizontal="center" vertical="center" wrapText="1"/>
    </xf>
    <xf numFmtId="14" fontId="11" fillId="2" borderId="18" xfId="7" applyNumberFormat="1" applyFont="1" applyFill="1" applyBorder="1" applyAlignment="1" applyProtection="1">
      <alignment horizontal="center" vertical="center"/>
      <protection locked="0"/>
    </xf>
    <xf numFmtId="14" fontId="12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7" applyFont="1" applyFill="1" applyBorder="1" applyAlignment="1">
      <alignment horizontal="center" vertical="center" wrapText="1"/>
    </xf>
    <xf numFmtId="0" fontId="11" fillId="2" borderId="30" xfId="7" applyFont="1" applyFill="1" applyBorder="1" applyAlignment="1">
      <alignment horizontal="center" vertical="center"/>
    </xf>
    <xf numFmtId="9" fontId="11" fillId="2" borderId="30" xfId="7" applyNumberFormat="1" applyFont="1" applyFill="1" applyBorder="1" applyAlignment="1">
      <alignment horizontal="center" vertical="center"/>
    </xf>
    <xf numFmtId="41" fontId="11" fillId="2" borderId="30" xfId="7" applyNumberFormat="1" applyFont="1" applyFill="1" applyBorder="1" applyAlignment="1">
      <alignment horizontal="center" vertical="center"/>
    </xf>
    <xf numFmtId="41" fontId="11" fillId="2" borderId="30" xfId="1" applyNumberFormat="1" applyFont="1" applyFill="1" applyBorder="1" applyAlignment="1">
      <alignment horizontal="center" vertical="center"/>
    </xf>
    <xf numFmtId="179" fontId="11" fillId="0" borderId="30" xfId="7" applyNumberFormat="1" applyFont="1" applyFill="1" applyBorder="1" applyAlignment="1" applyProtection="1">
      <alignment vertical="center"/>
      <protection locked="0"/>
    </xf>
    <xf numFmtId="179" fontId="11" fillId="0" borderId="30" xfId="7" applyNumberFormat="1" applyFont="1" applyBorder="1" applyAlignment="1" applyProtection="1">
      <alignment vertical="center"/>
      <protection locked="0"/>
    </xf>
    <xf numFmtId="180" fontId="11" fillId="0" borderId="30" xfId="7" applyNumberFormat="1" applyFont="1" applyBorder="1" applyAlignment="1" applyProtection="1">
      <alignment vertical="center"/>
      <protection locked="0"/>
    </xf>
    <xf numFmtId="0" fontId="11" fillId="0" borderId="151" xfId="7" applyFont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left" vertical="center" wrapText="1"/>
    </xf>
    <xf numFmtId="14" fontId="11" fillId="2" borderId="18" xfId="2" applyNumberFormat="1" applyFont="1" applyFill="1" applyBorder="1" applyAlignment="1">
      <alignment horizontal="center" vertical="center"/>
    </xf>
    <xf numFmtId="0" fontId="12" fillId="4" borderId="80" xfId="7" applyFont="1" applyFill="1" applyBorder="1" applyAlignment="1">
      <alignment horizontal="center" vertical="center" wrapText="1"/>
    </xf>
    <xf numFmtId="0" fontId="12" fillId="4" borderId="97" xfId="7" applyFont="1" applyFill="1" applyBorder="1" applyAlignment="1">
      <alignment horizontal="center" vertical="center" wrapText="1"/>
    </xf>
    <xf numFmtId="0" fontId="11" fillId="0" borderId="155" xfId="7" applyFont="1" applyFill="1" applyBorder="1" applyAlignment="1">
      <alignment horizontal="center" vertical="center"/>
    </xf>
    <xf numFmtId="0" fontId="16" fillId="2" borderId="18" xfId="7" applyFont="1" applyFill="1" applyBorder="1" applyAlignment="1">
      <alignment horizontal="left" vertical="center" wrapText="1"/>
    </xf>
    <xf numFmtId="191" fontId="11" fillId="0" borderId="18" xfId="7" applyNumberFormat="1" applyFont="1" applyFill="1" applyBorder="1" applyAlignment="1" applyProtection="1">
      <alignment horizontal="center" vertical="center" wrapText="1"/>
      <protection locked="0"/>
    </xf>
    <xf numFmtId="14" fontId="11" fillId="2" borderId="18" xfId="0" applyNumberFormat="1" applyFont="1" applyFill="1" applyBorder="1" applyAlignment="1">
      <alignment horizontal="center" vertical="center" wrapText="1"/>
    </xf>
    <xf numFmtId="180" fontId="11" fillId="0" borderId="0" xfId="2" applyNumberFormat="1" applyFont="1" applyBorder="1" applyAlignment="1">
      <alignment horizontal="right" vertical="center"/>
    </xf>
    <xf numFmtId="189" fontId="11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133" xfId="7" applyFont="1" applyBorder="1" applyAlignment="1">
      <alignment horizontal="center" vertical="center" wrapText="1"/>
    </xf>
    <xf numFmtId="0" fontId="11" fillId="0" borderId="96" xfId="7" applyFont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11" fillId="2" borderId="18" xfId="7" applyFont="1" applyFill="1" applyBorder="1" applyAlignment="1">
      <alignment vertical="top" wrapText="1"/>
    </xf>
    <xf numFmtId="41" fontId="11" fillId="2" borderId="18" xfId="2" applyFont="1" applyFill="1" applyBorder="1" applyAlignment="1">
      <alignment vertical="top" wrapText="1"/>
    </xf>
    <xf numFmtId="14" fontId="11" fillId="2" borderId="18" xfId="1" applyNumberFormat="1" applyFont="1" applyFill="1" applyBorder="1" applyAlignment="1">
      <alignment horizontal="center" vertical="top" wrapText="1"/>
    </xf>
    <xf numFmtId="0" fontId="11" fillId="2" borderId="31" xfId="7" applyFont="1" applyFill="1" applyBorder="1" applyAlignment="1">
      <alignment vertical="top" wrapText="1"/>
    </xf>
    <xf numFmtId="0" fontId="11" fillId="2" borderId="18" xfId="7" applyFont="1" applyFill="1" applyBorder="1" applyAlignment="1">
      <alignment horizontal="left" vertical="top" wrapText="1"/>
    </xf>
    <xf numFmtId="0" fontId="11" fillId="2" borderId="18" xfId="7" applyFont="1" applyFill="1" applyBorder="1" applyAlignment="1">
      <alignment horizontal="center" vertical="top" wrapText="1"/>
    </xf>
    <xf numFmtId="41" fontId="11" fillId="2" borderId="18" xfId="2" applyFont="1" applyFill="1" applyBorder="1" applyAlignment="1">
      <alignment horizontal="center" vertical="top" wrapText="1"/>
    </xf>
    <xf numFmtId="193" fontId="11" fillId="0" borderId="18" xfId="2" applyNumberFormat="1" applyFont="1" applyBorder="1" applyAlignment="1">
      <alignment horizontal="left" vertical="top" wrapText="1"/>
    </xf>
    <xf numFmtId="14" fontId="2" fillId="0" borderId="0" xfId="2" applyNumberFormat="1" applyFont="1" applyFill="1" applyBorder="1" applyAlignment="1"/>
    <xf numFmtId="0" fontId="11" fillId="0" borderId="31" xfId="7" applyFont="1" applyFill="1" applyBorder="1" applyAlignment="1">
      <alignment horizontal="center" vertical="top"/>
    </xf>
    <xf numFmtId="9" fontId="11" fillId="2" borderId="18" xfId="1" applyFont="1" applyFill="1" applyBorder="1" applyAlignment="1">
      <alignment horizontal="center" vertical="top"/>
    </xf>
    <xf numFmtId="189" fontId="11" fillId="2" borderId="18" xfId="7" applyNumberFormat="1" applyFont="1" applyFill="1" applyBorder="1" applyAlignment="1" applyProtection="1">
      <alignment vertical="top"/>
      <protection locked="0"/>
    </xf>
    <xf numFmtId="14" fontId="11" fillId="2" borderId="18" xfId="7" applyNumberFormat="1" applyFont="1" applyFill="1" applyBorder="1" applyAlignment="1" applyProtection="1">
      <alignment vertical="top"/>
      <protection locked="0"/>
    </xf>
    <xf numFmtId="197" fontId="11" fillId="2" borderId="18" xfId="2" applyNumberFormat="1" applyFont="1" applyFill="1" applyBorder="1" applyAlignment="1">
      <alignment horizontal="center" vertical="top"/>
    </xf>
    <xf numFmtId="196" fontId="11" fillId="0" borderId="33" xfId="2" applyNumberFormat="1" applyFont="1" applyBorder="1" applyAlignment="1">
      <alignment horizontal="right" vertical="top"/>
    </xf>
    <xf numFmtId="9" fontId="11" fillId="2" borderId="18" xfId="7" applyNumberFormat="1" applyFont="1" applyFill="1" applyBorder="1" applyAlignment="1">
      <alignment horizontal="center" vertical="top"/>
    </xf>
    <xf numFmtId="41" fontId="11" fillId="2" borderId="18" xfId="7" applyNumberFormat="1" applyFont="1" applyFill="1" applyBorder="1" applyAlignment="1">
      <alignment horizontal="center" vertical="top"/>
    </xf>
    <xf numFmtId="0" fontId="11" fillId="0" borderId="154" xfId="7" applyFont="1" applyFill="1" applyBorder="1" applyAlignment="1">
      <alignment horizontal="center" vertical="top"/>
    </xf>
    <xf numFmtId="0" fontId="18" fillId="2" borderId="18" xfId="7" applyFont="1" applyFill="1" applyBorder="1" applyAlignment="1">
      <alignment horizontal="left" vertical="center" wrapText="1"/>
    </xf>
    <xf numFmtId="14" fontId="11" fillId="2" borderId="18" xfId="0" applyNumberFormat="1" applyFont="1" applyFill="1" applyBorder="1" applyAlignment="1">
      <alignment horizontal="right" vertical="center"/>
    </xf>
    <xf numFmtId="49" fontId="12" fillId="0" borderId="18" xfId="7" applyNumberFormat="1" applyFont="1" applyFill="1" applyBorder="1" applyAlignment="1">
      <alignment horizontal="center" vertical="center" wrapText="1"/>
    </xf>
    <xf numFmtId="14" fontId="11" fillId="2" borderId="18" xfId="7" applyNumberFormat="1" applyFont="1" applyFill="1" applyBorder="1" applyAlignment="1">
      <alignment horizontal="center" vertical="center" wrapText="1" shrinkToFit="1"/>
    </xf>
    <xf numFmtId="9" fontId="11" fillId="8" borderId="18" xfId="2" applyNumberFormat="1" applyFont="1" applyFill="1" applyBorder="1" applyAlignment="1">
      <alignment horizontal="center" vertical="center" wrapText="1"/>
    </xf>
    <xf numFmtId="0" fontId="12" fillId="0" borderId="33" xfId="7" applyFont="1" applyBorder="1" applyAlignment="1">
      <alignment horizontal="center" vertical="center" wrapText="1"/>
    </xf>
    <xf numFmtId="0" fontId="12" fillId="0" borderId="18" xfId="7" applyFont="1" applyFill="1" applyBorder="1" applyAlignment="1">
      <alignment horizontal="center" vertical="center" wrapText="1"/>
    </xf>
    <xf numFmtId="0" fontId="11" fillId="0" borderId="154" xfId="7" applyFont="1" applyFill="1" applyBorder="1" applyAlignment="1">
      <alignment horizontal="center" vertical="center"/>
    </xf>
    <xf numFmtId="0" fontId="11" fillId="0" borderId="31" xfId="7" applyFont="1" applyFill="1" applyBorder="1" applyAlignment="1">
      <alignment horizontal="center" vertical="center"/>
    </xf>
    <xf numFmtId="49" fontId="11" fillId="0" borderId="0" xfId="7" applyNumberFormat="1" applyFont="1" applyBorder="1" applyAlignment="1">
      <alignment horizontal="left" vertical="center" wrapText="1"/>
    </xf>
    <xf numFmtId="49" fontId="22" fillId="0" borderId="0" xfId="0" applyNumberFormat="1" applyFont="1">
      <alignment vertical="center"/>
    </xf>
    <xf numFmtId="0" fontId="12" fillId="0" borderId="34" xfId="7" applyFont="1" applyBorder="1" applyAlignment="1">
      <alignment vertical="center" wrapText="1"/>
    </xf>
    <xf numFmtId="0" fontId="11" fillId="0" borderId="33" xfId="7" applyFont="1" applyBorder="1" applyAlignment="1">
      <alignment horizontal="center" vertical="top" wrapText="1"/>
    </xf>
    <xf numFmtId="0" fontId="11" fillId="0" borderId="34" xfId="7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18" xfId="7" applyFont="1" applyFill="1" applyBorder="1" applyAlignment="1">
      <alignment horizontal="center" vertical="center" wrapText="1" shrinkToFit="1"/>
    </xf>
    <xf numFmtId="210" fontId="11" fillId="2" borderId="18" xfId="0" quotePrefix="1" applyNumberFormat="1" applyFont="1" applyFill="1" applyBorder="1" applyAlignment="1">
      <alignment horizontal="center" vertical="center"/>
    </xf>
    <xf numFmtId="0" fontId="11" fillId="2" borderId="18" xfId="0" quotePrefix="1" applyFont="1" applyFill="1" applyBorder="1" applyAlignment="1">
      <alignment horizontal="center" vertical="center"/>
    </xf>
    <xf numFmtId="0" fontId="11" fillId="2" borderId="28" xfId="0" quotePrefix="1" applyFont="1" applyFill="1" applyBorder="1" applyAlignment="1">
      <alignment horizontal="center" vertical="center"/>
    </xf>
    <xf numFmtId="41" fontId="11" fillId="2" borderId="18" xfId="2" applyFont="1" applyFill="1" applyBorder="1" applyAlignment="1" applyProtection="1">
      <alignment horizontal="center" vertical="center" wrapText="1"/>
      <protection locked="0"/>
    </xf>
    <xf numFmtId="177" fontId="11" fillId="8" borderId="18" xfId="7" applyNumberFormat="1" applyFont="1" applyFill="1" applyBorder="1" applyAlignment="1">
      <alignment horizontal="center" vertical="center" wrapText="1"/>
    </xf>
    <xf numFmtId="0" fontId="11" fillId="2" borderId="18" xfId="0" quotePrefix="1" applyFont="1" applyFill="1" applyBorder="1" applyAlignment="1">
      <alignment horizontal="center" vertical="center" wrapText="1"/>
    </xf>
    <xf numFmtId="0" fontId="11" fillId="2" borderId="18" xfId="0" quotePrefix="1" applyFont="1" applyFill="1" applyBorder="1" applyAlignment="1">
      <alignment horizontal="center" vertical="center" wrapText="1" shrinkToFit="1"/>
    </xf>
    <xf numFmtId="177" fontId="14" fillId="5" borderId="18" xfId="7" applyNumberFormat="1" applyFont="1" applyFill="1" applyBorder="1" applyAlignment="1">
      <alignment horizontal="center" vertical="center" wrapText="1"/>
    </xf>
    <xf numFmtId="177" fontId="14" fillId="5" borderId="61" xfId="2" applyNumberFormat="1" applyFont="1" applyFill="1" applyBorder="1" applyAlignment="1">
      <alignment horizontal="center" vertical="center" wrapText="1"/>
    </xf>
    <xf numFmtId="0" fontId="11" fillId="0" borderId="268" xfId="7" applyFont="1" applyBorder="1" applyAlignment="1">
      <alignment horizontal="center" vertical="top" wrapText="1"/>
    </xf>
    <xf numFmtId="0" fontId="11" fillId="0" borderId="126" xfId="7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/>
    </xf>
    <xf numFmtId="189" fontId="12" fillId="0" borderId="0" xfId="7" applyNumberFormat="1" applyFont="1" applyBorder="1" applyAlignment="1">
      <alignment horizontal="center" vertical="center"/>
    </xf>
    <xf numFmtId="49" fontId="12" fillId="0" borderId="0" xfId="7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right" vertical="center"/>
    </xf>
    <xf numFmtId="49" fontId="12" fillId="0" borderId="0" xfId="7" applyNumberFormat="1" applyFont="1" applyFill="1" applyBorder="1" applyAlignment="1">
      <alignment horizontal="left" vertical="center"/>
    </xf>
    <xf numFmtId="49" fontId="12" fillId="0" borderId="0" xfId="7" applyNumberFormat="1" applyFont="1" applyBorder="1" applyAlignment="1">
      <alignment horizontal="left" vertical="center"/>
    </xf>
    <xf numFmtId="49" fontId="23" fillId="0" borderId="0" xfId="7" applyNumberFormat="1" applyFont="1" applyBorder="1" applyAlignment="1">
      <alignment vertical="center"/>
    </xf>
    <xf numFmtId="0" fontId="0" fillId="0" borderId="0" xfId="0" applyFo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>
      <alignment vertical="center"/>
    </xf>
    <xf numFmtId="0" fontId="25" fillId="0" borderId="18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wrapText="1"/>
    </xf>
    <xf numFmtId="9" fontId="25" fillId="2" borderId="18" xfId="1" applyFont="1" applyFill="1" applyBorder="1" applyAlignment="1">
      <alignment horizontal="center" vertical="center"/>
    </xf>
    <xf numFmtId="9" fontId="25" fillId="0" borderId="18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7" fillId="0" borderId="0" xfId="0" applyFont="1">
      <alignment vertical="center"/>
    </xf>
    <xf numFmtId="10" fontId="0" fillId="0" borderId="0" xfId="0" applyNumberFormat="1" applyFont="1">
      <alignment vertical="center"/>
    </xf>
    <xf numFmtId="180" fontId="3" fillId="0" borderId="0" xfId="2" applyNumberFormat="1" applyFont="1" applyBorder="1" applyAlignment="1">
      <alignment horizontal="center" vertical="center" wrapText="1"/>
    </xf>
    <xf numFmtId="180" fontId="11" fillId="0" borderId="0" xfId="2" applyNumberFormat="1" applyFont="1" applyAlignment="1">
      <alignment horizontal="center" vertical="center" wrapText="1"/>
    </xf>
    <xf numFmtId="180" fontId="12" fillId="0" borderId="110" xfId="2" applyNumberFormat="1" applyFont="1" applyBorder="1" applyAlignment="1">
      <alignment horizontal="center" vertical="center" wrapText="1"/>
    </xf>
    <xf numFmtId="180" fontId="12" fillId="0" borderId="67" xfId="2" applyNumberFormat="1" applyFont="1" applyBorder="1" applyAlignment="1">
      <alignment horizontal="center" vertical="center" wrapText="1"/>
    </xf>
    <xf numFmtId="180" fontId="12" fillId="0" borderId="68" xfId="2" applyNumberFormat="1" applyFont="1" applyBorder="1" applyAlignment="1">
      <alignment horizontal="center" vertical="center" wrapText="1"/>
    </xf>
    <xf numFmtId="180" fontId="12" fillId="0" borderId="69" xfId="2" applyNumberFormat="1" applyFont="1" applyBorder="1" applyAlignment="1">
      <alignment horizontal="center" vertical="center" wrapText="1"/>
    </xf>
    <xf numFmtId="180" fontId="12" fillId="0" borderId="70" xfId="2" applyNumberFormat="1" applyFont="1" applyBorder="1" applyAlignment="1">
      <alignment horizontal="center" vertical="center" wrapText="1"/>
    </xf>
    <xf numFmtId="180" fontId="12" fillId="0" borderId="6" xfId="2" applyNumberFormat="1" applyFont="1" applyBorder="1" applyAlignment="1">
      <alignment horizontal="center" vertical="center" wrapText="1"/>
    </xf>
    <xf numFmtId="180" fontId="11" fillId="3" borderId="71" xfId="2" applyNumberFormat="1" applyFont="1" applyFill="1" applyBorder="1" applyAlignment="1">
      <alignment horizontal="center" vertical="center" wrapText="1"/>
    </xf>
    <xf numFmtId="180" fontId="28" fillId="3" borderId="4" xfId="2" applyNumberFormat="1" applyFont="1" applyFill="1" applyBorder="1" applyAlignment="1">
      <alignment horizontal="center" vertical="center" shrinkToFit="1"/>
    </xf>
    <xf numFmtId="10" fontId="28" fillId="4" borderId="3" xfId="1" applyNumberFormat="1" applyFont="1" applyFill="1" applyBorder="1" applyAlignment="1">
      <alignment horizontal="center" vertical="center" wrapText="1"/>
    </xf>
    <xf numFmtId="180" fontId="11" fillId="3" borderId="75" xfId="2" applyNumberFormat="1" applyFont="1" applyFill="1" applyBorder="1" applyAlignment="1">
      <alignment horizontal="center" vertical="center" wrapText="1"/>
    </xf>
    <xf numFmtId="201" fontId="11" fillId="0" borderId="77" xfId="2" applyNumberFormat="1" applyFont="1" applyBorder="1" applyAlignment="1">
      <alignment horizontal="center" vertical="center" wrapText="1"/>
    </xf>
    <xf numFmtId="203" fontId="11" fillId="3" borderId="46" xfId="2" applyNumberFormat="1" applyFont="1" applyFill="1" applyBorder="1" applyAlignment="1">
      <alignment horizontal="center" vertical="center" wrapText="1"/>
    </xf>
    <xf numFmtId="177" fontId="19" fillId="4" borderId="63" xfId="0" applyNumberFormat="1" applyFont="1" applyFill="1" applyBorder="1" applyAlignment="1">
      <alignment horizontal="center" vertical="center" wrapText="1"/>
    </xf>
    <xf numFmtId="180" fontId="11" fillId="3" borderId="8" xfId="2" applyNumberFormat="1" applyFont="1" applyFill="1" applyBorder="1" applyAlignment="1">
      <alignment horizontal="center" vertical="center" wrapText="1"/>
    </xf>
    <xf numFmtId="201" fontId="28" fillId="4" borderId="78" xfId="2" applyNumberFormat="1" applyFont="1" applyFill="1" applyBorder="1" applyAlignment="1">
      <alignment horizontal="center" vertical="center" wrapText="1"/>
    </xf>
    <xf numFmtId="203" fontId="11" fillId="3" borderId="76" xfId="2" applyNumberFormat="1" applyFont="1" applyFill="1" applyBorder="1" applyAlignment="1">
      <alignment horizontal="center" vertical="center" wrapText="1"/>
    </xf>
    <xf numFmtId="0" fontId="19" fillId="4" borderId="64" xfId="0" applyFont="1" applyFill="1" applyBorder="1" applyAlignment="1">
      <alignment horizontal="center" vertical="center" wrapText="1"/>
    </xf>
    <xf numFmtId="10" fontId="11" fillId="5" borderId="20" xfId="1" applyNumberFormat="1" applyFont="1" applyFill="1" applyBorder="1" applyAlignment="1">
      <alignment horizontal="center" vertical="center" wrapText="1"/>
    </xf>
    <xf numFmtId="203" fontId="11" fillId="3" borderId="3" xfId="2" applyNumberFormat="1" applyFont="1" applyFill="1" applyBorder="1" applyAlignment="1">
      <alignment horizontal="center" vertical="center" wrapText="1"/>
    </xf>
    <xf numFmtId="202" fontId="28" fillId="4" borderId="78" xfId="2" applyNumberFormat="1" applyFont="1" applyFill="1" applyBorder="1" applyAlignment="1">
      <alignment horizontal="center" vertical="center" wrapText="1"/>
    </xf>
    <xf numFmtId="180" fontId="11" fillId="3" borderId="72" xfId="2" applyNumberFormat="1" applyFont="1" applyFill="1" applyBorder="1" applyAlignment="1">
      <alignment horizontal="center" vertical="center" wrapText="1"/>
    </xf>
    <xf numFmtId="202" fontId="19" fillId="4" borderId="2" xfId="2" applyNumberFormat="1" applyFont="1" applyFill="1" applyBorder="1" applyAlignment="1">
      <alignment horizontal="center" vertical="center" wrapText="1"/>
    </xf>
    <xf numFmtId="180" fontId="11" fillId="3" borderId="0" xfId="2" applyNumberFormat="1" applyFont="1" applyFill="1" applyAlignment="1">
      <alignment horizontal="center" vertical="center" wrapText="1"/>
    </xf>
    <xf numFmtId="180" fontId="11" fillId="4" borderId="66" xfId="2" applyNumberFormat="1" applyFont="1" applyFill="1" applyBorder="1" applyAlignment="1">
      <alignment horizontal="center" vertical="center" wrapText="1"/>
    </xf>
    <xf numFmtId="203" fontId="11" fillId="3" borderId="74" xfId="2" applyNumberFormat="1" applyFont="1" applyFill="1" applyBorder="1" applyAlignment="1">
      <alignment horizontal="center" vertical="center" wrapText="1"/>
    </xf>
    <xf numFmtId="0" fontId="19" fillId="4" borderId="65" xfId="0" applyFont="1" applyFill="1" applyBorder="1" applyAlignment="1">
      <alignment horizontal="center" vertical="center" wrapText="1"/>
    </xf>
    <xf numFmtId="10" fontId="28" fillId="4" borderId="73" xfId="1" applyNumberFormat="1" applyFont="1" applyFill="1" applyBorder="1" applyAlignment="1">
      <alignment horizontal="center" vertical="center" wrapText="1"/>
    </xf>
    <xf numFmtId="180" fontId="11" fillId="3" borderId="31" xfId="2" applyNumberFormat="1" applyFont="1" applyFill="1" applyBorder="1" applyAlignment="1">
      <alignment horizontal="center" vertical="center" wrapText="1"/>
    </xf>
    <xf numFmtId="202" fontId="12" fillId="5" borderId="18" xfId="2" applyNumberFormat="1" applyFont="1" applyFill="1" applyBorder="1" applyAlignment="1">
      <alignment horizontal="center" vertical="center" wrapText="1"/>
    </xf>
    <xf numFmtId="180" fontId="11" fillId="3" borderId="18" xfId="2" applyNumberFormat="1" applyFont="1" applyFill="1" applyBorder="1" applyAlignment="1">
      <alignment horizontal="center" vertical="center" wrapText="1"/>
    </xf>
    <xf numFmtId="177" fontId="19" fillId="4" borderId="18" xfId="0" applyNumberFormat="1" applyFont="1" applyFill="1" applyBorder="1" applyAlignment="1">
      <alignment horizontal="center" vertical="center" wrapText="1"/>
    </xf>
    <xf numFmtId="180" fontId="12" fillId="0" borderId="1" xfId="2" applyNumberFormat="1" applyFont="1" applyBorder="1" applyAlignment="1">
      <alignment horizontal="center" vertical="center" wrapText="1"/>
    </xf>
    <xf numFmtId="180" fontId="12" fillId="0" borderId="5" xfId="2" applyNumberFormat="1" applyFont="1" applyBorder="1" applyAlignment="1">
      <alignment horizontal="center" vertical="center" wrapText="1"/>
    </xf>
    <xf numFmtId="41" fontId="12" fillId="0" borderId="66" xfId="2" applyFont="1" applyBorder="1" applyAlignment="1">
      <alignment horizontal="center" vertical="center" wrapText="1"/>
    </xf>
    <xf numFmtId="180" fontId="12" fillId="0" borderId="66" xfId="2" applyNumberFormat="1" applyFont="1" applyBorder="1" applyAlignment="1">
      <alignment horizontal="center" vertical="center" wrapText="1"/>
    </xf>
    <xf numFmtId="180" fontId="11" fillId="3" borderId="2" xfId="2" applyNumberFormat="1" applyFont="1" applyFill="1" applyBorder="1" applyAlignment="1">
      <alignment horizontal="center" vertical="center" wrapText="1"/>
    </xf>
    <xf numFmtId="180" fontId="28" fillId="0" borderId="7" xfId="2" applyNumberFormat="1" applyFont="1" applyFill="1" applyBorder="1" applyAlignment="1">
      <alignment horizontal="center" vertical="center" wrapText="1"/>
    </xf>
    <xf numFmtId="180" fontId="11" fillId="0" borderId="3" xfId="2" applyNumberFormat="1" applyFont="1" applyFill="1" applyBorder="1" applyAlignment="1">
      <alignment horizontal="center" vertical="center" wrapText="1"/>
    </xf>
    <xf numFmtId="0" fontId="11" fillId="4" borderId="3" xfId="2" applyNumberFormat="1" applyFont="1" applyFill="1" applyBorder="1" applyAlignment="1">
      <alignment horizontal="center" vertical="center" wrapText="1"/>
    </xf>
    <xf numFmtId="180" fontId="28" fillId="0" borderId="4" xfId="2" applyNumberFormat="1" applyFont="1" applyFill="1" applyBorder="1" applyAlignment="1">
      <alignment horizontal="center" vertical="center" wrapText="1"/>
    </xf>
    <xf numFmtId="180" fontId="11" fillId="3" borderId="3" xfId="2" applyNumberFormat="1" applyFont="1" applyFill="1" applyBorder="1" applyAlignment="1">
      <alignment horizontal="center" vertical="center" wrapText="1"/>
    </xf>
    <xf numFmtId="180" fontId="11" fillId="3" borderId="4" xfId="2" applyNumberFormat="1" applyFont="1" applyFill="1" applyBorder="1" applyAlignment="1">
      <alignment horizontal="center" vertical="center" wrapText="1"/>
    </xf>
    <xf numFmtId="180" fontId="11" fillId="0" borderId="4" xfId="2" applyNumberFormat="1" applyFont="1" applyBorder="1" applyAlignment="1">
      <alignment horizontal="center" vertical="center" wrapText="1"/>
    </xf>
    <xf numFmtId="177" fontId="11" fillId="5" borderId="3" xfId="2" applyNumberFormat="1" applyFont="1" applyFill="1" applyBorder="1" applyAlignment="1">
      <alignment horizontal="center" vertical="center" wrapText="1"/>
    </xf>
    <xf numFmtId="177" fontId="11" fillId="4" borderId="3" xfId="2" applyNumberFormat="1" applyFont="1" applyFill="1" applyBorder="1" applyAlignment="1">
      <alignment horizontal="center" vertical="center" wrapText="1"/>
    </xf>
    <xf numFmtId="180" fontId="11" fillId="0" borderId="22" xfId="2" applyNumberFormat="1" applyFont="1" applyBorder="1" applyAlignment="1">
      <alignment horizontal="center" vertical="center" wrapText="1"/>
    </xf>
    <xf numFmtId="180" fontId="11" fillId="0" borderId="20" xfId="2" applyNumberFormat="1" applyFont="1" applyBorder="1" applyAlignment="1">
      <alignment horizontal="center" vertical="center" wrapText="1"/>
    </xf>
    <xf numFmtId="181" fontId="11" fillId="3" borderId="3" xfId="2" applyNumberFormat="1" applyFont="1" applyFill="1" applyBorder="1" applyAlignment="1">
      <alignment horizontal="center" vertical="center" wrapText="1"/>
    </xf>
    <xf numFmtId="184" fontId="11" fillId="3" borderId="4" xfId="2" applyNumberFormat="1" applyFont="1" applyFill="1" applyBorder="1" applyAlignment="1">
      <alignment horizontal="center" vertical="center" wrapText="1"/>
    </xf>
    <xf numFmtId="176" fontId="11" fillId="4" borderId="3" xfId="2" applyNumberFormat="1" applyFont="1" applyFill="1" applyBorder="1" applyAlignment="1">
      <alignment horizontal="center" vertical="center" wrapText="1"/>
    </xf>
    <xf numFmtId="182" fontId="11" fillId="3" borderId="3" xfId="2" applyNumberFormat="1" applyFont="1" applyFill="1" applyBorder="1" applyAlignment="1">
      <alignment horizontal="center" vertical="center" wrapText="1"/>
    </xf>
    <xf numFmtId="183" fontId="11" fillId="3" borderId="4" xfId="2" applyNumberFormat="1" applyFont="1" applyFill="1" applyBorder="1" applyAlignment="1">
      <alignment horizontal="center" vertical="center" wrapText="1"/>
    </xf>
    <xf numFmtId="176" fontId="11" fillId="4" borderId="4" xfId="2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80" fontId="11" fillId="0" borderId="3" xfId="2" applyNumberFormat="1" applyFont="1" applyBorder="1" applyAlignment="1">
      <alignment horizontal="center" vertical="center" wrapText="1"/>
    </xf>
    <xf numFmtId="9" fontId="11" fillId="4" borderId="3" xfId="1" applyFont="1" applyFill="1" applyBorder="1" applyAlignment="1">
      <alignment horizontal="center" vertical="center" wrapText="1"/>
    </xf>
    <xf numFmtId="9" fontId="11" fillId="4" borderId="3" xfId="1" applyNumberFormat="1" applyFont="1" applyFill="1" applyBorder="1" applyAlignment="1">
      <alignment horizontal="center" vertical="center" wrapText="1"/>
    </xf>
    <xf numFmtId="177" fontId="11" fillId="5" borderId="4" xfId="2" applyNumberFormat="1" applyFont="1" applyFill="1" applyBorder="1" applyAlignment="1">
      <alignment horizontal="center" vertical="center" wrapText="1"/>
    </xf>
    <xf numFmtId="177" fontId="11" fillId="4" borderId="4" xfId="2" applyNumberFormat="1" applyFont="1" applyFill="1" applyBorder="1" applyAlignment="1">
      <alignment horizontal="center" vertical="center" wrapText="1"/>
    </xf>
    <xf numFmtId="180" fontId="11" fillId="0" borderId="4" xfId="2" applyNumberFormat="1" applyFont="1" applyFill="1" applyBorder="1" applyAlignment="1">
      <alignment horizontal="center" vertical="center" wrapText="1"/>
    </xf>
    <xf numFmtId="182" fontId="29" fillId="3" borderId="3" xfId="2" applyNumberFormat="1" applyFont="1" applyFill="1" applyBorder="1" applyAlignment="1">
      <alignment horizontal="center" vertical="center" wrapText="1"/>
    </xf>
    <xf numFmtId="183" fontId="29" fillId="3" borderId="4" xfId="2" applyNumberFormat="1" applyFont="1" applyFill="1" applyBorder="1" applyAlignment="1">
      <alignment horizontal="center" vertical="center" wrapText="1"/>
    </xf>
    <xf numFmtId="185" fontId="29" fillId="3" borderId="3" xfId="2" applyNumberFormat="1" applyFont="1" applyFill="1" applyBorder="1" applyAlignment="1">
      <alignment horizontal="center" vertical="center" wrapText="1"/>
    </xf>
    <xf numFmtId="185" fontId="11" fillId="3" borderId="3" xfId="2" applyNumberFormat="1" applyFont="1" applyFill="1" applyBorder="1" applyAlignment="1">
      <alignment horizontal="center" vertical="center" wrapText="1"/>
    </xf>
    <xf numFmtId="204" fontId="11" fillId="4" borderId="3" xfId="2" applyNumberFormat="1" applyFont="1" applyFill="1" applyBorder="1" applyAlignment="1">
      <alignment horizontal="center" vertical="center" wrapText="1"/>
    </xf>
    <xf numFmtId="199" fontId="11" fillId="3" borderId="3" xfId="2" applyNumberFormat="1" applyFont="1" applyFill="1" applyBorder="1" applyAlignment="1">
      <alignment horizontal="center" vertical="center" wrapText="1"/>
    </xf>
    <xf numFmtId="200" fontId="11" fillId="3" borderId="3" xfId="2" applyNumberFormat="1" applyFont="1" applyFill="1" applyBorder="1" applyAlignment="1">
      <alignment horizontal="center" vertical="center" wrapText="1"/>
    </xf>
    <xf numFmtId="0" fontId="11" fillId="3" borderId="3" xfId="2" applyNumberFormat="1" applyFont="1" applyFill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10" fontId="11" fillId="0" borderId="3" xfId="1" applyNumberFormat="1" applyFont="1" applyFill="1" applyBorder="1" applyAlignment="1">
      <alignment horizontal="center" vertical="center" wrapText="1"/>
    </xf>
    <xf numFmtId="10" fontId="11" fillId="0" borderId="4" xfId="1" applyNumberFormat="1" applyFont="1" applyFill="1" applyBorder="1" applyAlignment="1">
      <alignment horizontal="center" vertical="center" wrapText="1"/>
    </xf>
    <xf numFmtId="0" fontId="11" fillId="4" borderId="4" xfId="2" applyNumberFormat="1" applyFont="1" applyFill="1" applyBorder="1" applyAlignment="1">
      <alignment horizontal="center" vertical="center" wrapText="1"/>
    </xf>
    <xf numFmtId="0" fontId="11" fillId="0" borderId="4" xfId="2" applyNumberFormat="1" applyFont="1" applyFill="1" applyBorder="1" applyAlignment="1">
      <alignment horizontal="center" vertical="center" wrapText="1"/>
    </xf>
    <xf numFmtId="9" fontId="11" fillId="0" borderId="3" xfId="1" applyFont="1" applyFill="1" applyBorder="1" applyAlignment="1">
      <alignment horizontal="center" vertical="center" wrapText="1"/>
    </xf>
    <xf numFmtId="211" fontId="11" fillId="3" borderId="3" xfId="2" applyNumberFormat="1" applyFont="1" applyFill="1" applyBorder="1" applyAlignment="1">
      <alignment horizontal="center" vertical="center" wrapText="1"/>
    </xf>
    <xf numFmtId="176" fontId="11" fillId="3" borderId="3" xfId="2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>
      <alignment horizontal="center" vertical="center" wrapText="1"/>
    </xf>
    <xf numFmtId="192" fontId="11" fillId="4" borderId="3" xfId="1" applyNumberFormat="1" applyFont="1" applyFill="1" applyBorder="1" applyAlignment="1">
      <alignment horizontal="center" vertical="center" wrapText="1"/>
    </xf>
    <xf numFmtId="192" fontId="11" fillId="4" borderId="8" xfId="1" applyNumberFormat="1" applyFont="1" applyFill="1" applyBorder="1" applyAlignment="1">
      <alignment horizontal="center" vertical="center" wrapText="1"/>
    </xf>
    <xf numFmtId="192" fontId="11" fillId="4" borderId="3" xfId="2" applyNumberFormat="1" applyFont="1" applyFill="1" applyBorder="1" applyAlignment="1">
      <alignment horizontal="center" vertical="center" wrapText="1"/>
    </xf>
    <xf numFmtId="192" fontId="11" fillId="4" borderId="8" xfId="2" applyNumberFormat="1" applyFont="1" applyFill="1" applyBorder="1" applyAlignment="1">
      <alignment horizontal="center" vertical="center" wrapText="1"/>
    </xf>
    <xf numFmtId="180" fontId="11" fillId="0" borderId="0" xfId="2" quotePrefix="1" applyNumberFormat="1" applyFont="1" applyAlignment="1">
      <alignment horizontal="center" vertical="center" wrapText="1"/>
    </xf>
    <xf numFmtId="199" fontId="11" fillId="3" borderId="2" xfId="2" applyNumberFormat="1" applyFont="1" applyFill="1" applyBorder="1" applyAlignment="1">
      <alignment horizontal="center" vertical="center" wrapText="1"/>
    </xf>
    <xf numFmtId="180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NumberFormat="1" applyFont="1" applyFill="1" applyBorder="1" applyAlignment="1">
      <alignment horizontal="left" vertical="center" wrapText="1"/>
    </xf>
    <xf numFmtId="189" fontId="11" fillId="4" borderId="3" xfId="2" applyNumberFormat="1" applyFont="1" applyFill="1" applyBorder="1" applyAlignment="1">
      <alignment horizontal="center" vertical="center" wrapText="1"/>
    </xf>
    <xf numFmtId="9" fontId="11" fillId="0" borderId="0" xfId="1" applyNumberFormat="1" applyFont="1" applyFill="1" applyBorder="1" applyAlignment="1">
      <alignment horizontal="center" vertical="center" wrapText="1"/>
    </xf>
    <xf numFmtId="190" fontId="11" fillId="4" borderId="4" xfId="2" applyNumberFormat="1" applyFont="1" applyFill="1" applyBorder="1" applyAlignment="1">
      <alignment horizontal="center" vertical="center" wrapText="1"/>
    </xf>
    <xf numFmtId="190" fontId="11" fillId="4" borderId="74" xfId="2" applyNumberFormat="1" applyFont="1" applyFill="1" applyBorder="1" applyAlignment="1">
      <alignment horizontal="center" vertical="center" wrapText="1"/>
    </xf>
    <xf numFmtId="190" fontId="11" fillId="4" borderId="196" xfId="2" applyNumberFormat="1" applyFont="1" applyFill="1" applyBorder="1" applyAlignment="1">
      <alignment horizontal="center" vertical="center" wrapText="1"/>
    </xf>
    <xf numFmtId="180" fontId="11" fillId="0" borderId="74" xfId="2" applyNumberFormat="1" applyFont="1" applyBorder="1" applyAlignment="1">
      <alignment horizontal="center" vertical="center" wrapText="1"/>
    </xf>
    <xf numFmtId="0" fontId="12" fillId="0" borderId="74" xfId="2" applyNumberFormat="1" applyFont="1" applyBorder="1" applyAlignment="1">
      <alignment horizontal="center" vertical="center" wrapText="1"/>
    </xf>
    <xf numFmtId="180" fontId="11" fillId="0" borderId="74" xfId="2" applyNumberFormat="1" applyFont="1" applyFill="1" applyBorder="1" applyAlignment="1">
      <alignment horizontal="center" vertical="center" wrapText="1"/>
    </xf>
    <xf numFmtId="176" fontId="11" fillId="4" borderId="74" xfId="2" applyNumberFormat="1" applyFont="1" applyFill="1" applyBorder="1" applyAlignment="1">
      <alignment horizontal="center" vertical="center" wrapText="1"/>
    </xf>
    <xf numFmtId="180" fontId="11" fillId="0" borderId="196" xfId="2" applyNumberFormat="1" applyFont="1" applyBorder="1" applyAlignment="1">
      <alignment horizontal="left" vertical="center" wrapText="1"/>
    </xf>
    <xf numFmtId="180" fontId="11" fillId="0" borderId="197" xfId="2" applyNumberFormat="1" applyFont="1" applyBorder="1" applyAlignment="1">
      <alignment horizontal="left" vertical="center" wrapText="1"/>
    </xf>
    <xf numFmtId="180" fontId="11" fillId="0" borderId="3" xfId="2" quotePrefix="1" applyNumberFormat="1" applyFont="1" applyBorder="1" applyAlignment="1">
      <alignment horizontal="center" vertical="center" wrapText="1"/>
    </xf>
    <xf numFmtId="9" fontId="11" fillId="4" borderId="3" xfId="1" quotePrefix="1" applyFont="1" applyFill="1" applyBorder="1" applyAlignment="1">
      <alignment horizontal="center" vertical="center" wrapText="1"/>
    </xf>
    <xf numFmtId="180" fontId="11" fillId="0" borderId="2" xfId="2" applyNumberFormat="1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212" fontId="11" fillId="3" borderId="3" xfId="2" applyNumberFormat="1" applyFont="1" applyFill="1" applyBorder="1" applyAlignment="1">
      <alignment horizontal="center" vertical="center" wrapText="1"/>
    </xf>
    <xf numFmtId="180" fontId="11" fillId="0" borderId="7" xfId="2" applyNumberFormat="1" applyFont="1" applyBorder="1" applyAlignment="1">
      <alignment horizontal="center" vertical="center" wrapText="1"/>
    </xf>
    <xf numFmtId="180" fontId="12" fillId="0" borderId="3" xfId="2" applyNumberFormat="1" applyFont="1" applyBorder="1" applyAlignment="1">
      <alignment horizontal="center" vertical="center" wrapText="1"/>
    </xf>
    <xf numFmtId="180" fontId="12" fillId="0" borderId="4" xfId="2" applyNumberFormat="1" applyFont="1" applyBorder="1" applyAlignment="1">
      <alignment horizontal="center" vertical="center" wrapText="1"/>
    </xf>
    <xf numFmtId="180" fontId="11" fillId="0" borderId="0" xfId="2" applyNumberFormat="1" applyFont="1" applyAlignment="1">
      <alignment horizontal="center" vertical="center"/>
    </xf>
    <xf numFmtId="41" fontId="11" fillId="0" borderId="0" xfId="2" applyFont="1" applyAlignment="1">
      <alignment horizontal="center" vertical="center"/>
    </xf>
    <xf numFmtId="41" fontId="11" fillId="0" borderId="0" xfId="2" applyFont="1" applyAlignment="1">
      <alignment horizontal="center" vertical="center" wrapText="1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0" fillId="4" borderId="18" xfId="0" applyFont="1" applyFill="1" applyBorder="1">
      <alignment vertical="center"/>
    </xf>
    <xf numFmtId="0" fontId="13" fillId="4" borderId="28" xfId="0" applyFont="1" applyFill="1" applyBorder="1" applyAlignment="1">
      <alignment horizontal="center" vertical="center"/>
    </xf>
    <xf numFmtId="0" fontId="10" fillId="0" borderId="128" xfId="0" applyFont="1" applyFill="1" applyBorder="1" applyAlignment="1">
      <alignment horizontal="center" vertical="center" wrapText="1"/>
    </xf>
    <xf numFmtId="0" fontId="13" fillId="0" borderId="129" xfId="2" applyNumberFormat="1" applyFont="1" applyFill="1" applyBorder="1" applyAlignment="1">
      <alignment horizontal="center" vertical="center"/>
    </xf>
    <xf numFmtId="180" fontId="10" fillId="0" borderId="119" xfId="2" applyNumberFormat="1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10" fillId="0" borderId="24" xfId="0" applyFont="1" applyFill="1" applyBorder="1" applyAlignment="1">
      <alignment horizontal="center" vertical="center" wrapText="1"/>
    </xf>
    <xf numFmtId="0" fontId="13" fillId="0" borderId="25" xfId="2" applyNumberFormat="1" applyFont="1" applyFill="1" applyBorder="1" applyAlignment="1">
      <alignment horizontal="center" vertical="center"/>
    </xf>
    <xf numFmtId="180" fontId="10" fillId="0" borderId="26" xfId="2" applyNumberFormat="1" applyFont="1" applyFill="1" applyBorder="1" applyAlignment="1">
      <alignment horizontal="center" vertical="center"/>
    </xf>
    <xf numFmtId="0" fontId="13" fillId="0" borderId="54" xfId="2" applyNumberFormat="1" applyFont="1" applyFill="1" applyBorder="1" applyAlignment="1">
      <alignment horizontal="center" vertical="center"/>
    </xf>
    <xf numFmtId="180" fontId="10" fillId="0" borderId="27" xfId="2" applyNumberFormat="1" applyFont="1" applyFill="1" applyBorder="1" applyAlignment="1">
      <alignment horizontal="center" vertical="center"/>
    </xf>
    <xf numFmtId="0" fontId="13" fillId="0" borderId="130" xfId="2" applyNumberFormat="1" applyFont="1" applyFill="1" applyBorder="1" applyAlignment="1">
      <alignment horizontal="center" vertical="center"/>
    </xf>
    <xf numFmtId="180" fontId="10" fillId="0" borderId="111" xfId="2" applyNumberFormat="1" applyFont="1" applyFill="1" applyBorder="1" applyAlignment="1">
      <alignment horizontal="center" vertical="center"/>
    </xf>
    <xf numFmtId="0" fontId="13" fillId="0" borderId="236" xfId="2" applyNumberFormat="1" applyFont="1" applyFill="1" applyBorder="1" applyAlignment="1">
      <alignment horizontal="center" vertical="center"/>
    </xf>
    <xf numFmtId="180" fontId="10" fillId="0" borderId="237" xfId="2" applyNumberFormat="1" applyFont="1" applyFill="1" applyBorder="1" applyAlignment="1">
      <alignment horizontal="center" vertical="center"/>
    </xf>
    <xf numFmtId="0" fontId="13" fillId="0" borderId="142" xfId="2" applyNumberFormat="1" applyFont="1" applyFill="1" applyBorder="1" applyAlignment="1">
      <alignment horizontal="center" vertical="center"/>
    </xf>
    <xf numFmtId="180" fontId="10" fillId="0" borderId="59" xfId="2" applyNumberFormat="1" applyFont="1" applyFill="1" applyBorder="1" applyAlignment="1">
      <alignment horizontal="center" vertical="center"/>
    </xf>
    <xf numFmtId="0" fontId="13" fillId="0" borderId="149" xfId="2" applyNumberFormat="1" applyFont="1" applyFill="1" applyBorder="1" applyAlignment="1">
      <alignment horizontal="center" vertical="center"/>
    </xf>
    <xf numFmtId="180" fontId="10" fillId="0" borderId="115" xfId="2" applyNumberFormat="1" applyFont="1" applyFill="1" applyBorder="1" applyAlignment="1">
      <alignment horizontal="center" vertical="center"/>
    </xf>
    <xf numFmtId="180" fontId="0" fillId="0" borderId="0" xfId="2" applyNumberFormat="1" applyFont="1" applyFill="1" applyBorder="1" applyAlignment="1">
      <alignment horizontal="center" vertical="center"/>
    </xf>
    <xf numFmtId="180" fontId="0" fillId="0" borderId="0" xfId="0" applyNumberFormat="1" applyFont="1" applyFill="1">
      <alignment vertical="center"/>
    </xf>
    <xf numFmtId="0" fontId="13" fillId="0" borderId="238" xfId="2" applyNumberFormat="1" applyFont="1" applyFill="1" applyBorder="1" applyAlignment="1">
      <alignment horizontal="center" vertical="center"/>
    </xf>
    <xf numFmtId="180" fontId="10" fillId="0" borderId="240" xfId="2" applyNumberFormat="1" applyFont="1" applyFill="1" applyBorder="1" applyAlignment="1">
      <alignment horizontal="center" vertical="center"/>
    </xf>
    <xf numFmtId="0" fontId="13" fillId="0" borderId="241" xfId="2" applyNumberFormat="1" applyFont="1" applyFill="1" applyBorder="1" applyAlignment="1">
      <alignment horizontal="center" vertical="center"/>
    </xf>
    <xf numFmtId="180" fontId="10" fillId="0" borderId="79" xfId="2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>
      <alignment horizontal="center" vertical="center"/>
    </xf>
    <xf numFmtId="180" fontId="10" fillId="0" borderId="18" xfId="2" applyNumberFormat="1" applyFont="1" applyFill="1" applyBorder="1" applyAlignment="1">
      <alignment horizontal="center" vertical="center"/>
    </xf>
    <xf numFmtId="177" fontId="13" fillId="0" borderId="18" xfId="2" applyNumberFormat="1" applyFont="1" applyFill="1" applyBorder="1" applyAlignment="1">
      <alignment vertical="center"/>
    </xf>
    <xf numFmtId="180" fontId="0" fillId="0" borderId="0" xfId="2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>
      <alignment vertical="center"/>
    </xf>
    <xf numFmtId="0" fontId="30" fillId="0" borderId="0" xfId="0" applyFont="1">
      <alignment vertical="center"/>
    </xf>
    <xf numFmtId="0" fontId="3" fillId="0" borderId="0" xfId="0" applyFont="1">
      <alignment vertical="center"/>
    </xf>
    <xf numFmtId="0" fontId="31" fillId="0" borderId="0" xfId="0" applyFont="1">
      <alignment vertical="center"/>
    </xf>
    <xf numFmtId="180" fontId="31" fillId="0" borderId="0" xfId="2" applyNumberFormat="1" applyFont="1">
      <alignment vertical="center"/>
    </xf>
    <xf numFmtId="180" fontId="27" fillId="0" borderId="0" xfId="2" applyNumberFormat="1" applyFont="1">
      <alignment vertical="center"/>
    </xf>
    <xf numFmtId="0" fontId="27" fillId="0" borderId="18" xfId="0" applyFont="1" applyBorder="1" applyAlignment="1">
      <alignment horizontal="center" vertical="center" wrapText="1"/>
    </xf>
    <xf numFmtId="9" fontId="27" fillId="0" borderId="18" xfId="1" applyFont="1" applyFill="1" applyBorder="1" applyAlignment="1">
      <alignment horizontal="center" vertical="center"/>
    </xf>
    <xf numFmtId="176" fontId="27" fillId="2" borderId="18" xfId="1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7" fillId="0" borderId="0" xfId="0" applyFont="1" applyFill="1" applyBorder="1">
      <alignment vertical="center"/>
    </xf>
    <xf numFmtId="180" fontId="0" fillId="0" borderId="0" xfId="2" applyNumberFormat="1" applyFont="1">
      <alignment vertical="center"/>
    </xf>
    <xf numFmtId="0" fontId="3" fillId="0" borderId="0" xfId="0" applyFont="1" applyBorder="1">
      <alignment vertical="center"/>
    </xf>
    <xf numFmtId="0" fontId="27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180" fontId="11" fillId="0" borderId="18" xfId="2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79" fontId="27" fillId="0" borderId="18" xfId="2" applyNumberFormat="1" applyFont="1" applyFill="1" applyBorder="1" applyAlignment="1">
      <alignment horizontal="center" vertical="center" wrapText="1"/>
    </xf>
    <xf numFmtId="177" fontId="27" fillId="0" borderId="18" xfId="0" applyNumberFormat="1" applyFont="1" applyBorder="1" applyAlignment="1">
      <alignment vertical="center" wrapText="1"/>
    </xf>
    <xf numFmtId="189" fontId="27" fillId="0" borderId="18" xfId="0" applyNumberFormat="1" applyFont="1" applyBorder="1" applyAlignment="1">
      <alignment horizontal="center" vertical="center" wrapText="1"/>
    </xf>
    <xf numFmtId="177" fontId="27" fillId="0" borderId="18" xfId="0" applyNumberFormat="1" applyFont="1" applyBorder="1" applyAlignment="1">
      <alignment horizontal="center" vertical="center" wrapText="1"/>
    </xf>
    <xf numFmtId="209" fontId="35" fillId="5" borderId="18" xfId="0" applyNumberFormat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189" fontId="11" fillId="0" borderId="18" xfId="2" applyNumberFormat="1" applyFont="1" applyFill="1" applyBorder="1" applyAlignment="1">
      <alignment horizontal="center" vertical="center" wrapText="1"/>
    </xf>
    <xf numFmtId="189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80" fontId="11" fillId="0" borderId="0" xfId="2" applyNumberFormat="1" applyFont="1">
      <alignment vertical="center"/>
    </xf>
    <xf numFmtId="0" fontId="11" fillId="0" borderId="0" xfId="0" applyFont="1">
      <alignment vertical="center"/>
    </xf>
    <xf numFmtId="18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6" fillId="0" borderId="0" xfId="0" applyFont="1" applyAlignment="1">
      <alignment horizontal="justify" vertical="center"/>
    </xf>
    <xf numFmtId="18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07" fontId="13" fillId="0" borderId="0" xfId="0" applyNumberFormat="1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141" xfId="0" applyFont="1" applyFill="1" applyBorder="1" applyAlignment="1">
      <alignment horizontal="center" vertical="center"/>
    </xf>
    <xf numFmtId="207" fontId="13" fillId="2" borderId="14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4" borderId="18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shrinkToFit="1"/>
    </xf>
    <xf numFmtId="0" fontId="0" fillId="10" borderId="159" xfId="0" applyFont="1" applyFill="1" applyBorder="1" applyAlignment="1">
      <alignment horizontal="center" vertical="center" shrinkToFit="1"/>
    </xf>
    <xf numFmtId="0" fontId="0" fillId="4" borderId="244" xfId="0" applyFont="1" applyFill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10" borderId="245" xfId="0" applyFont="1" applyFill="1" applyBorder="1" applyAlignment="1">
      <alignment horizontal="center" vertical="center" shrinkToFit="1"/>
    </xf>
    <xf numFmtId="0" fontId="0" fillId="0" borderId="246" xfId="0" applyFont="1" applyBorder="1" applyAlignment="1">
      <alignment horizontal="center" vertical="center" wrapText="1"/>
    </xf>
    <xf numFmtId="180" fontId="0" fillId="0" borderId="247" xfId="2" applyNumberFormat="1" applyFont="1" applyFill="1" applyBorder="1" applyAlignment="1">
      <alignment horizontal="center" vertical="center"/>
    </xf>
    <xf numFmtId="180" fontId="0" fillId="0" borderId="248" xfId="2" applyNumberFormat="1" applyFont="1" applyFill="1" applyBorder="1" applyAlignment="1">
      <alignment horizontal="center" vertical="center"/>
    </xf>
    <xf numFmtId="180" fontId="0" fillId="0" borderId="145" xfId="2" applyNumberFormat="1" applyFont="1" applyFill="1" applyBorder="1" applyAlignment="1">
      <alignment horizontal="center" vertical="center"/>
    </xf>
    <xf numFmtId="180" fontId="0" fillId="0" borderId="249" xfId="2" applyNumberFormat="1" applyFont="1" applyFill="1" applyBorder="1" applyAlignment="1">
      <alignment horizontal="center" vertical="center"/>
    </xf>
    <xf numFmtId="179" fontId="0" fillId="0" borderId="250" xfId="2" applyNumberFormat="1" applyFont="1" applyFill="1" applyBorder="1" applyAlignment="1">
      <alignment horizontal="center" vertical="center"/>
    </xf>
    <xf numFmtId="180" fontId="0" fillId="0" borderId="180" xfId="2" applyNumberFormat="1" applyFont="1" applyFill="1" applyBorder="1" applyAlignment="1">
      <alignment horizontal="center" vertical="center"/>
    </xf>
    <xf numFmtId="180" fontId="0" fillId="0" borderId="185" xfId="2" applyNumberFormat="1" applyFont="1" applyFill="1" applyBorder="1" applyAlignment="1">
      <alignment horizontal="center" vertical="center"/>
    </xf>
    <xf numFmtId="179" fontId="0" fillId="0" borderId="251" xfId="2" applyNumberFormat="1" applyFont="1" applyFill="1" applyBorder="1" applyAlignment="1">
      <alignment horizontal="center" vertical="center"/>
    </xf>
    <xf numFmtId="180" fontId="0" fillId="0" borderId="252" xfId="2" applyNumberFormat="1" applyFont="1" applyFill="1" applyBorder="1" applyAlignment="1">
      <alignment horizontal="center" vertical="center"/>
    </xf>
    <xf numFmtId="0" fontId="0" fillId="0" borderId="25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180" fontId="37" fillId="6" borderId="219" xfId="2" applyNumberFormat="1" applyFont="1" applyFill="1" applyBorder="1" applyAlignment="1">
      <alignment horizontal="center" vertical="center"/>
    </xf>
    <xf numFmtId="180" fontId="0" fillId="0" borderId="55" xfId="2" applyNumberFormat="1" applyFont="1" applyFill="1" applyBorder="1" applyAlignment="1">
      <alignment horizontal="center" vertical="center"/>
    </xf>
    <xf numFmtId="180" fontId="37" fillId="9" borderId="61" xfId="2" applyNumberFormat="1" applyFont="1" applyFill="1" applyBorder="1" applyAlignment="1">
      <alignment horizontal="center" vertical="center"/>
    </xf>
    <xf numFmtId="180" fontId="0" fillId="0" borderId="148" xfId="2" applyNumberFormat="1" applyFont="1" applyFill="1" applyBorder="1" applyAlignment="1">
      <alignment horizontal="center" vertical="center"/>
    </xf>
    <xf numFmtId="180" fontId="0" fillId="0" borderId="265" xfId="2" applyNumberFormat="1" applyFont="1" applyFill="1" applyBorder="1" applyAlignment="1">
      <alignment horizontal="center" vertical="center"/>
    </xf>
    <xf numFmtId="180" fontId="37" fillId="9" borderId="34" xfId="2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80" fontId="0" fillId="0" borderId="0" xfId="2" applyNumberFormat="1" applyFont="1" applyBorder="1" applyAlignment="1">
      <alignment horizontal="center" vertical="center"/>
    </xf>
    <xf numFmtId="43" fontId="37" fillId="0" borderId="0" xfId="0" applyNumberFormat="1" applyFont="1" applyFill="1" applyBorder="1">
      <alignment vertical="center"/>
    </xf>
    <xf numFmtId="43" fontId="0" fillId="0" borderId="0" xfId="0" applyNumberFormat="1" applyFont="1" applyBorder="1">
      <alignment vertical="center"/>
    </xf>
    <xf numFmtId="43" fontId="37" fillId="0" borderId="0" xfId="0" applyNumberFormat="1" applyFont="1" applyFill="1" applyBorder="1" applyAlignment="1">
      <alignment vertical="center" wrapText="1"/>
    </xf>
    <xf numFmtId="0" fontId="0" fillId="0" borderId="60" xfId="0" applyFont="1" applyBorder="1" applyAlignment="1">
      <alignment horizontal="center" vertical="center" wrapText="1"/>
    </xf>
    <xf numFmtId="215" fontId="38" fillId="0" borderId="60" xfId="0" applyNumberFormat="1" applyFont="1" applyBorder="1" applyAlignment="1">
      <alignment horizontal="center" vertical="center"/>
    </xf>
    <xf numFmtId="216" fontId="38" fillId="0" borderId="97" xfId="0" applyNumberFormat="1" applyFont="1" applyBorder="1" applyAlignment="1">
      <alignment horizontal="center" vertical="center"/>
    </xf>
    <xf numFmtId="215" fontId="38" fillId="0" borderId="266" xfId="0" applyNumberFormat="1" applyFont="1" applyBorder="1" applyAlignment="1">
      <alignment horizontal="center" vertical="center"/>
    </xf>
    <xf numFmtId="215" fontId="38" fillId="0" borderId="0" xfId="0" applyNumberFormat="1" applyFont="1" applyBorder="1" applyAlignment="1">
      <alignment horizontal="center" vertical="center"/>
    </xf>
    <xf numFmtId="199" fontId="38" fillId="0" borderId="0" xfId="0" applyNumberFormat="1" applyFont="1" applyBorder="1" applyAlignment="1">
      <alignment horizontal="center" vertical="center"/>
    </xf>
    <xf numFmtId="200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176" fontId="0" fillId="0" borderId="266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0" borderId="61" xfId="0" applyFont="1" applyBorder="1" applyAlignment="1">
      <alignment horizontal="center" vertical="center"/>
    </xf>
    <xf numFmtId="176" fontId="0" fillId="0" borderId="61" xfId="0" applyNumberFormat="1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80" fontId="10" fillId="0" borderId="0" xfId="2" applyNumberFormat="1" applyFont="1">
      <alignment vertical="center"/>
    </xf>
    <xf numFmtId="177" fontId="27" fillId="0" borderId="0" xfId="0" applyNumberFormat="1" applyFont="1" applyBorder="1" applyAlignment="1">
      <alignment horizontal="center" vertical="center"/>
    </xf>
    <xf numFmtId="10" fontId="31" fillId="0" borderId="0" xfId="1" applyNumberFormat="1" applyFont="1" applyAlignment="1">
      <alignment horizontal="center" vertical="center"/>
    </xf>
    <xf numFmtId="10" fontId="27" fillId="0" borderId="0" xfId="1" applyNumberFormat="1" applyFont="1" applyAlignment="1">
      <alignment horizontal="center" vertical="center"/>
    </xf>
    <xf numFmtId="0" fontId="27" fillId="0" borderId="0" xfId="0" applyFont="1" applyBorder="1">
      <alignment vertical="center"/>
    </xf>
    <xf numFmtId="10" fontId="0" fillId="0" borderId="0" xfId="1" applyNumberFormat="1" applyFont="1" applyAlignment="1">
      <alignment horizontal="center" vertical="center"/>
    </xf>
    <xf numFmtId="0" fontId="27" fillId="0" borderId="18" xfId="0" applyFont="1" applyBorder="1" applyAlignment="1">
      <alignment horizontal="center" vertical="center" shrinkToFit="1"/>
    </xf>
    <xf numFmtId="3" fontId="27" fillId="0" borderId="18" xfId="0" applyNumberFormat="1" applyFont="1" applyBorder="1" applyAlignment="1">
      <alignment horizontal="center" vertical="center"/>
    </xf>
    <xf numFmtId="10" fontId="27" fillId="0" borderId="18" xfId="2" applyNumberFormat="1" applyFont="1" applyFill="1" applyBorder="1">
      <alignment vertical="center"/>
    </xf>
    <xf numFmtId="0" fontId="39" fillId="4" borderId="80" xfId="0" applyFont="1" applyFill="1" applyBorder="1" applyAlignment="1">
      <alignment horizontal="center" vertical="center" wrapText="1"/>
    </xf>
    <xf numFmtId="0" fontId="39" fillId="4" borderId="60" xfId="0" applyFont="1" applyFill="1" applyBorder="1" applyAlignment="1">
      <alignment horizontal="center" vertical="center" wrapText="1"/>
    </xf>
    <xf numFmtId="0" fontId="39" fillId="4" borderId="97" xfId="0" applyFont="1" applyFill="1" applyBorder="1" applyAlignment="1">
      <alignment horizontal="center" vertical="center" wrapText="1"/>
    </xf>
    <xf numFmtId="0" fontId="39" fillId="4" borderId="146" xfId="0" applyFont="1" applyFill="1" applyBorder="1" applyAlignment="1">
      <alignment horizontal="center" vertical="center" wrapText="1"/>
    </xf>
    <xf numFmtId="14" fontId="0" fillId="0" borderId="0" xfId="2" applyNumberFormat="1" applyFont="1" applyFill="1" applyBorder="1" applyAlignment="1"/>
    <xf numFmtId="0" fontId="39" fillId="4" borderId="107" xfId="0" applyFont="1" applyFill="1" applyBorder="1" applyAlignment="1">
      <alignment horizontal="center" vertical="center" wrapText="1"/>
    </xf>
    <xf numFmtId="0" fontId="39" fillId="4" borderId="147" xfId="0" applyFont="1" applyFill="1" applyBorder="1" applyAlignment="1">
      <alignment horizontal="center" vertical="center" wrapText="1"/>
    </xf>
    <xf numFmtId="0" fontId="27" fillId="4" borderId="83" xfId="0" applyFont="1" applyFill="1" applyBorder="1" applyAlignment="1">
      <alignment horizontal="center" vertical="center"/>
    </xf>
    <xf numFmtId="0" fontId="27" fillId="4" borderId="85" xfId="0" applyFont="1" applyFill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shrinkToFit="1"/>
    </xf>
    <xf numFmtId="9" fontId="27" fillId="0" borderId="53" xfId="1" applyFont="1" applyFill="1" applyBorder="1" applyAlignment="1">
      <alignment horizontal="center" vertical="center"/>
    </xf>
    <xf numFmtId="188" fontId="27" fillId="0" borderId="186" xfId="2" applyNumberFormat="1" applyFont="1" applyFill="1" applyBorder="1">
      <alignment vertical="center"/>
    </xf>
    <xf numFmtId="188" fontId="27" fillId="0" borderId="187" xfId="2" applyNumberFormat="1" applyFont="1" applyFill="1" applyBorder="1">
      <alignment vertical="center"/>
    </xf>
    <xf numFmtId="188" fontId="27" fillId="0" borderId="188" xfId="2" applyNumberFormat="1" applyFont="1" applyFill="1" applyBorder="1">
      <alignment vertical="center"/>
    </xf>
    <xf numFmtId="188" fontId="27" fillId="0" borderId="189" xfId="2" applyNumberFormat="1" applyFont="1" applyFill="1" applyBorder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27" fillId="4" borderId="93" xfId="0" applyFont="1" applyFill="1" applyBorder="1" applyAlignment="1">
      <alignment horizontal="center" vertical="center"/>
    </xf>
    <xf numFmtId="0" fontId="27" fillId="4" borderId="84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0" fontId="27" fillId="0" borderId="18" xfId="0" applyNumberFormat="1" applyFont="1" applyFill="1" applyBorder="1" applyAlignment="1">
      <alignment vertical="center"/>
    </xf>
    <xf numFmtId="41" fontId="27" fillId="2" borderId="121" xfId="2" applyNumberFormat="1" applyFont="1" applyFill="1" applyBorder="1">
      <alignment vertical="center"/>
    </xf>
    <xf numFmtId="41" fontId="27" fillId="2" borderId="9" xfId="2" applyNumberFormat="1" applyFont="1" applyFill="1" applyBorder="1">
      <alignment vertical="center"/>
    </xf>
    <xf numFmtId="41" fontId="27" fillId="2" borderId="85" xfId="2" applyNumberFormat="1" applyFont="1" applyFill="1" applyBorder="1">
      <alignment vertical="center"/>
    </xf>
    <xf numFmtId="41" fontId="27" fillId="2" borderId="178" xfId="2" applyNumberFormat="1" applyFont="1" applyFill="1" applyBorder="1">
      <alignment vertical="center"/>
    </xf>
    <xf numFmtId="41" fontId="27" fillId="2" borderId="179" xfId="2" applyNumberFormat="1" applyFont="1" applyFill="1" applyBorder="1">
      <alignment vertical="center"/>
    </xf>
    <xf numFmtId="41" fontId="27" fillId="2" borderId="83" xfId="2" applyNumberFormat="1" applyFont="1" applyFill="1" applyBorder="1">
      <alignment vertical="center"/>
    </xf>
    <xf numFmtId="41" fontId="27" fillId="2" borderId="84" xfId="2" applyNumberFormat="1" applyFont="1" applyFill="1" applyBorder="1">
      <alignment vertical="center"/>
    </xf>
    <xf numFmtId="0" fontId="27" fillId="4" borderId="94" xfId="0" applyFont="1" applyFill="1" applyBorder="1" applyAlignment="1">
      <alignment horizontal="center" vertical="center"/>
    </xf>
    <xf numFmtId="0" fontId="27" fillId="4" borderId="83" xfId="0" applyFont="1" applyFill="1" applyBorder="1" applyAlignment="1">
      <alignment horizontal="center" vertical="center" wrapText="1"/>
    </xf>
    <xf numFmtId="180" fontId="27" fillId="0" borderId="52" xfId="2" applyNumberFormat="1" applyFont="1" applyFill="1" applyBorder="1">
      <alignment vertical="center"/>
    </xf>
    <xf numFmtId="191" fontId="27" fillId="0" borderId="190" xfId="2" applyNumberFormat="1" applyFont="1" applyFill="1" applyBorder="1">
      <alignment vertical="center"/>
    </xf>
    <xf numFmtId="180" fontId="27" fillId="0" borderId="190" xfId="2" applyNumberFormat="1" applyFont="1" applyFill="1" applyBorder="1">
      <alignment vertical="center"/>
    </xf>
    <xf numFmtId="0" fontId="0" fillId="0" borderId="0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180" fontId="2" fillId="0" borderId="0" xfId="2" applyNumberFormat="1" applyFont="1">
      <alignment vertical="center"/>
    </xf>
    <xf numFmtId="0" fontId="13" fillId="0" borderId="0" xfId="0" applyFont="1">
      <alignment vertical="center"/>
    </xf>
    <xf numFmtId="0" fontId="13" fillId="0" borderId="99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41" fillId="0" borderId="165" xfId="0" applyFont="1" applyBorder="1" applyAlignment="1">
      <alignment horizontal="center" vertical="center" wrapText="1"/>
    </xf>
    <xf numFmtId="9" fontId="27" fillId="0" borderId="75" xfId="1" applyFont="1" applyFill="1" applyBorder="1" applyAlignment="1">
      <alignment horizontal="center" vertical="center"/>
    </xf>
    <xf numFmtId="0" fontId="41" fillId="2" borderId="174" xfId="0" applyFont="1" applyFill="1" applyBorder="1" applyAlignment="1">
      <alignment horizontal="center" vertical="center" wrapText="1"/>
    </xf>
    <xf numFmtId="177" fontId="42" fillId="2" borderId="166" xfId="0" applyNumberFormat="1" applyFont="1" applyFill="1" applyBorder="1" applyAlignment="1">
      <alignment horizontal="center" vertical="center" wrapText="1"/>
    </xf>
    <xf numFmtId="0" fontId="42" fillId="5" borderId="167" xfId="0" applyFont="1" applyFill="1" applyBorder="1" applyAlignment="1">
      <alignment horizontal="center" vertical="center" wrapText="1"/>
    </xf>
    <xf numFmtId="0" fontId="41" fillId="0" borderId="168" xfId="0" applyFont="1" applyBorder="1" applyAlignment="1">
      <alignment horizontal="center" vertical="center" wrapText="1"/>
    </xf>
    <xf numFmtId="9" fontId="27" fillId="0" borderId="8" xfId="1" applyFont="1" applyFill="1" applyBorder="1" applyAlignment="1">
      <alignment horizontal="center" vertical="center"/>
    </xf>
    <xf numFmtId="0" fontId="41" fillId="2" borderId="175" xfId="0" applyFont="1" applyFill="1" applyBorder="1" applyAlignment="1">
      <alignment horizontal="center" vertical="center" wrapText="1"/>
    </xf>
    <xf numFmtId="177" fontId="42" fillId="2" borderId="169" xfId="0" applyNumberFormat="1" applyFont="1" applyFill="1" applyBorder="1" applyAlignment="1">
      <alignment horizontal="center" vertical="center" wrapText="1"/>
    </xf>
    <xf numFmtId="0" fontId="42" fillId="5" borderId="170" xfId="0" applyFont="1" applyFill="1" applyBorder="1" applyAlignment="1">
      <alignment horizontal="center" vertical="center" wrapText="1"/>
    </xf>
    <xf numFmtId="0" fontId="41" fillId="0" borderId="160" xfId="0" applyFont="1" applyBorder="1" applyAlignment="1">
      <alignment horizontal="center" vertical="center" wrapText="1"/>
    </xf>
    <xf numFmtId="9" fontId="27" fillId="0" borderId="161" xfId="1" applyFont="1" applyFill="1" applyBorder="1" applyAlignment="1">
      <alignment horizontal="center" vertical="center"/>
    </xf>
    <xf numFmtId="0" fontId="41" fillId="2" borderId="162" xfId="0" applyFont="1" applyFill="1" applyBorder="1" applyAlignment="1">
      <alignment horizontal="center" vertical="center" wrapText="1"/>
    </xf>
    <xf numFmtId="208" fontId="42" fillId="2" borderId="162" xfId="0" applyNumberFormat="1" applyFont="1" applyFill="1" applyBorder="1" applyAlignment="1">
      <alignment horizontal="center" vertical="center" wrapText="1"/>
    </xf>
    <xf numFmtId="0" fontId="42" fillId="5" borderId="163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41" fillId="0" borderId="31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136" xfId="0" applyFont="1" applyFill="1" applyBorder="1" applyAlignment="1">
      <alignment horizontal="center" vertical="center" wrapText="1"/>
    </xf>
    <xf numFmtId="0" fontId="42" fillId="2" borderId="137" xfId="0" applyFont="1" applyFill="1" applyBorder="1" applyAlignment="1">
      <alignment horizontal="center" vertical="center" wrapText="1"/>
    </xf>
    <xf numFmtId="0" fontId="42" fillId="5" borderId="13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 wrapText="1"/>
    </xf>
    <xf numFmtId="0" fontId="41" fillId="0" borderId="103" xfId="0" applyFont="1" applyBorder="1" applyAlignment="1">
      <alignment horizontal="center" vertical="center" wrapText="1"/>
    </xf>
    <xf numFmtId="0" fontId="41" fillId="0" borderId="104" xfId="0" applyFont="1" applyBorder="1" applyAlignment="1">
      <alignment vertical="center" wrapText="1"/>
    </xf>
    <xf numFmtId="0" fontId="41" fillId="0" borderId="105" xfId="0" applyFont="1" applyBorder="1" applyAlignment="1">
      <alignment vertical="center" wrapText="1"/>
    </xf>
    <xf numFmtId="0" fontId="42" fillId="0" borderId="106" xfId="0" applyFont="1" applyBorder="1" applyAlignment="1">
      <alignment horizontal="justify" vertical="center" wrapText="1"/>
    </xf>
    <xf numFmtId="0" fontId="42" fillId="5" borderId="134" xfId="0" applyFont="1" applyFill="1" applyBorder="1" applyAlignment="1">
      <alignment horizontal="center" vertical="center" wrapText="1"/>
    </xf>
    <xf numFmtId="0" fontId="31" fillId="0" borderId="0" xfId="0" applyFont="1" applyFill="1">
      <alignment vertical="center"/>
    </xf>
    <xf numFmtId="190" fontId="31" fillId="0" borderId="0" xfId="0" applyNumberFormat="1" applyFont="1" applyAlignment="1">
      <alignment horizontal="center" vertical="center"/>
    </xf>
    <xf numFmtId="0" fontId="27" fillId="4" borderId="84" xfId="0" applyFont="1" applyFill="1" applyBorder="1" applyAlignment="1">
      <alignment horizontal="center" vertical="center" wrapText="1"/>
    </xf>
    <xf numFmtId="0" fontId="27" fillId="4" borderId="85" xfId="0" applyFont="1" applyFill="1" applyBorder="1" applyAlignment="1">
      <alignment horizontal="center" vertical="center" wrapText="1"/>
    </xf>
    <xf numFmtId="180" fontId="27" fillId="4" borderId="85" xfId="2" applyNumberFormat="1" applyFont="1" applyFill="1" applyBorder="1" applyAlignment="1">
      <alignment horizontal="center" vertical="center"/>
    </xf>
    <xf numFmtId="180" fontId="27" fillId="4" borderId="83" xfId="2" applyNumberFormat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41" fontId="27" fillId="2" borderId="39" xfId="2" applyFont="1" applyFill="1" applyBorder="1">
      <alignment vertical="center"/>
    </xf>
    <xf numFmtId="41" fontId="27" fillId="2" borderId="40" xfId="2" applyFont="1" applyFill="1" applyBorder="1">
      <alignment vertical="center"/>
    </xf>
    <xf numFmtId="0" fontId="27" fillId="0" borderId="41" xfId="0" applyFont="1" applyFill="1" applyBorder="1">
      <alignment vertical="center"/>
    </xf>
    <xf numFmtId="180" fontId="27" fillId="0" borderId="41" xfId="2" applyNumberFormat="1" applyFont="1" applyFill="1" applyBorder="1">
      <alignment vertical="center"/>
    </xf>
    <xf numFmtId="9" fontId="27" fillId="0" borderId="35" xfId="1" applyFont="1" applyFill="1" applyBorder="1" applyAlignment="1">
      <alignment horizontal="center" vertical="center"/>
    </xf>
    <xf numFmtId="180" fontId="27" fillId="0" borderId="232" xfId="0" applyNumberFormat="1" applyFont="1" applyFill="1" applyBorder="1">
      <alignment vertical="center"/>
    </xf>
    <xf numFmtId="179" fontId="27" fillId="0" borderId="131" xfId="0" applyNumberFormat="1" applyFont="1" applyFill="1" applyBorder="1">
      <alignment vertical="center"/>
    </xf>
    <xf numFmtId="0" fontId="27" fillId="0" borderId="36" xfId="0" applyFont="1" applyBorder="1" applyAlignment="1">
      <alignment horizontal="center" vertical="center"/>
    </xf>
    <xf numFmtId="41" fontId="27" fillId="2" borderId="172" xfId="2" applyFont="1" applyFill="1" applyBorder="1">
      <alignment vertical="center"/>
    </xf>
    <xf numFmtId="41" fontId="27" fillId="2" borderId="173" xfId="2" applyFont="1" applyFill="1" applyBorder="1">
      <alignment vertical="center"/>
    </xf>
    <xf numFmtId="0" fontId="27" fillId="0" borderId="124" xfId="0" applyFont="1" applyFill="1" applyBorder="1">
      <alignment vertical="center"/>
    </xf>
    <xf numFmtId="180" fontId="27" fillId="0" borderId="124" xfId="2" applyNumberFormat="1" applyFont="1" applyFill="1" applyBorder="1">
      <alignment vertical="center"/>
    </xf>
    <xf numFmtId="9" fontId="27" fillId="0" borderId="59" xfId="1" applyFont="1" applyFill="1" applyBorder="1" applyAlignment="1">
      <alignment horizontal="center" vertical="center"/>
    </xf>
    <xf numFmtId="180" fontId="27" fillId="0" borderId="231" xfId="0" applyNumberFormat="1" applyFont="1" applyFill="1" applyBorder="1">
      <alignment vertical="center"/>
    </xf>
    <xf numFmtId="179" fontId="27" fillId="0" borderId="143" xfId="0" applyNumberFormat="1" applyFont="1" applyFill="1" applyBorder="1">
      <alignment vertical="center"/>
    </xf>
    <xf numFmtId="0" fontId="27" fillId="0" borderId="37" xfId="0" applyFont="1" applyBorder="1" applyAlignment="1">
      <alignment horizontal="center" vertical="center"/>
    </xf>
    <xf numFmtId="41" fontId="27" fillId="2" borderId="42" xfId="2" applyFont="1" applyFill="1" applyBorder="1">
      <alignment vertical="center"/>
    </xf>
    <xf numFmtId="41" fontId="27" fillId="2" borderId="43" xfId="2" applyFont="1" applyFill="1" applyBorder="1">
      <alignment vertical="center"/>
    </xf>
    <xf numFmtId="0" fontId="27" fillId="0" borderId="44" xfId="0" applyFont="1" applyFill="1" applyBorder="1">
      <alignment vertical="center"/>
    </xf>
    <xf numFmtId="180" fontId="27" fillId="0" borderId="44" xfId="2" applyNumberFormat="1" applyFont="1" applyFill="1" applyBorder="1">
      <alignment vertical="center"/>
    </xf>
    <xf numFmtId="9" fontId="27" fillId="0" borderId="37" xfId="1" applyFont="1" applyFill="1" applyBorder="1" applyAlignment="1">
      <alignment horizontal="center" vertical="center"/>
    </xf>
    <xf numFmtId="180" fontId="27" fillId="0" borderId="176" xfId="0" applyNumberFormat="1" applyFont="1" applyFill="1" applyBorder="1">
      <alignment vertical="center"/>
    </xf>
    <xf numFmtId="179" fontId="27" fillId="0" borderId="132" xfId="0" applyNumberFormat="1" applyFont="1" applyFill="1" applyBorder="1">
      <alignment vertical="center"/>
    </xf>
    <xf numFmtId="190" fontId="0" fillId="0" borderId="0" xfId="0" applyNumberFormat="1" applyFont="1" applyAlignment="1">
      <alignment horizontal="center" vertical="center"/>
    </xf>
    <xf numFmtId="0" fontId="10" fillId="4" borderId="86" xfId="0" applyFont="1" applyFill="1" applyBorder="1" applyAlignment="1">
      <alignment horizontal="center" vertical="center" wrapText="1"/>
    </xf>
    <xf numFmtId="0" fontId="10" fillId="4" borderId="77" xfId="0" applyFont="1" applyFill="1" applyBorder="1" applyAlignment="1">
      <alignment horizontal="center" vertical="center" wrapText="1"/>
    </xf>
    <xf numFmtId="0" fontId="10" fillId="4" borderId="87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center" vertical="center" wrapText="1"/>
    </xf>
    <xf numFmtId="0" fontId="10" fillId="4" borderId="89" xfId="0" applyFont="1" applyFill="1" applyBorder="1" applyAlignment="1">
      <alignment horizontal="center" vertical="center" wrapText="1"/>
    </xf>
    <xf numFmtId="0" fontId="10" fillId="4" borderId="90" xfId="0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center" vertical="center" wrapText="1"/>
    </xf>
    <xf numFmtId="0" fontId="10" fillId="4" borderId="91" xfId="0" applyFont="1" applyFill="1" applyBorder="1" applyAlignment="1">
      <alignment horizontal="center" vertical="center" wrapText="1"/>
    </xf>
    <xf numFmtId="0" fontId="10" fillId="4" borderId="92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10" fontId="27" fillId="2" borderId="45" xfId="1" applyNumberFormat="1" applyFont="1" applyFill="1" applyBorder="1" applyAlignment="1">
      <alignment horizontal="center" vertical="center"/>
    </xf>
    <xf numFmtId="10" fontId="27" fillId="2" borderId="46" xfId="1" applyNumberFormat="1" applyFont="1" applyFill="1" applyBorder="1" applyAlignment="1">
      <alignment horizontal="center" vertical="center"/>
    </xf>
    <xf numFmtId="10" fontId="27" fillId="2" borderId="47" xfId="1" applyNumberFormat="1" applyFont="1" applyFill="1" applyBorder="1" applyAlignment="1">
      <alignment horizontal="center" vertical="center"/>
    </xf>
    <xf numFmtId="190" fontId="27" fillId="0" borderId="86" xfId="1" applyNumberFormat="1" applyFont="1" applyFill="1" applyBorder="1" applyAlignment="1">
      <alignment horizontal="center" vertical="center"/>
    </xf>
    <xf numFmtId="190" fontId="27" fillId="0" borderId="77" xfId="1" applyNumberFormat="1" applyFont="1" applyFill="1" applyBorder="1" applyAlignment="1">
      <alignment horizontal="center" vertical="center"/>
    </xf>
    <xf numFmtId="190" fontId="27" fillId="0" borderId="47" xfId="1" applyNumberFormat="1" applyFont="1" applyFill="1" applyBorder="1" applyAlignment="1">
      <alignment horizontal="center" vertical="center"/>
    </xf>
    <xf numFmtId="190" fontId="27" fillId="0" borderId="89" xfId="1" applyNumberFormat="1" applyFont="1" applyFill="1" applyBorder="1" applyAlignment="1">
      <alignment horizontal="center" vertical="center"/>
    </xf>
    <xf numFmtId="9" fontId="27" fillId="0" borderId="89" xfId="1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10" fontId="27" fillId="2" borderId="21" xfId="1" applyNumberFormat="1" applyFont="1" applyFill="1" applyBorder="1" applyAlignment="1">
      <alignment horizontal="center" vertical="center"/>
    </xf>
    <xf numFmtId="10" fontId="27" fillId="2" borderId="20" xfId="1" applyNumberFormat="1" applyFont="1" applyFill="1" applyBorder="1" applyAlignment="1">
      <alignment horizontal="center" vertical="center"/>
    </xf>
    <xf numFmtId="10" fontId="27" fillId="2" borderId="177" xfId="1" applyNumberFormat="1" applyFont="1" applyFill="1" applyBorder="1" applyAlignment="1">
      <alignment horizontal="center" vertical="center"/>
    </xf>
    <xf numFmtId="190" fontId="27" fillId="0" borderId="233" xfId="1" applyNumberFormat="1" applyFont="1" applyFill="1" applyBorder="1" applyAlignment="1">
      <alignment horizontal="center" vertical="center"/>
    </xf>
    <xf numFmtId="190" fontId="27" fillId="0" borderId="3" xfId="1" applyNumberFormat="1" applyFont="1" applyFill="1" applyBorder="1" applyAlignment="1">
      <alignment horizontal="center" vertical="center"/>
    </xf>
    <xf numFmtId="190" fontId="27" fillId="0" borderId="243" xfId="1" applyNumberFormat="1" applyFont="1" applyFill="1" applyBorder="1" applyAlignment="1">
      <alignment horizontal="center" vertical="center"/>
    </xf>
    <xf numFmtId="190" fontId="27" fillId="0" borderId="36" xfId="1" applyNumberFormat="1" applyFont="1" applyFill="1" applyBorder="1" applyAlignment="1">
      <alignment horizontal="center" vertical="center"/>
    </xf>
    <xf numFmtId="9" fontId="27" fillId="0" borderId="36" xfId="1" applyFont="1" applyFill="1" applyBorder="1" applyAlignment="1">
      <alignment horizontal="center" vertical="center"/>
    </xf>
    <xf numFmtId="10" fontId="27" fillId="2" borderId="48" xfId="1" applyNumberFormat="1" applyFont="1" applyFill="1" applyBorder="1" applyAlignment="1">
      <alignment horizontal="center" vertical="center"/>
    </xf>
    <xf numFmtId="10" fontId="27" fillId="2" borderId="49" xfId="1" applyNumberFormat="1" applyFont="1" applyFill="1" applyBorder="1" applyAlignment="1">
      <alignment horizontal="center" vertical="center"/>
    </xf>
    <xf numFmtId="10" fontId="27" fillId="2" borderId="50" xfId="1" applyNumberFormat="1" applyFont="1" applyFill="1" applyBorder="1" applyAlignment="1">
      <alignment horizontal="center" vertical="center"/>
    </xf>
    <xf numFmtId="190" fontId="27" fillId="0" borderId="90" xfId="1" applyNumberFormat="1" applyFont="1" applyFill="1" applyBorder="1" applyAlignment="1">
      <alignment horizontal="center" vertical="center"/>
    </xf>
    <xf numFmtId="190" fontId="27" fillId="0" borderId="66" xfId="1" applyNumberFormat="1" applyFont="1" applyFill="1" applyBorder="1" applyAlignment="1">
      <alignment horizontal="center" vertical="center"/>
    </xf>
    <xf numFmtId="190" fontId="27" fillId="0" borderId="50" xfId="1" applyNumberFormat="1" applyFont="1" applyFill="1" applyBorder="1" applyAlignment="1">
      <alignment horizontal="center" vertical="center"/>
    </xf>
    <xf numFmtId="190" fontId="27" fillId="0" borderId="30" xfId="1" applyNumberFormat="1" applyFont="1" applyFill="1" applyBorder="1" applyAlignment="1">
      <alignment horizontal="center" vertical="center"/>
    </xf>
    <xf numFmtId="0" fontId="0" fillId="0" borderId="0" xfId="7" applyFont="1" applyBorder="1" applyAlignment="1">
      <alignment vertical="center"/>
    </xf>
    <xf numFmtId="10" fontId="27" fillId="2" borderId="10" xfId="1" applyNumberFormat="1" applyFont="1" applyFill="1" applyBorder="1" applyAlignment="1">
      <alignment horizontal="center" vertical="center"/>
    </xf>
    <xf numFmtId="10" fontId="27" fillId="2" borderId="11" xfId="1" applyNumberFormat="1" applyFont="1" applyFill="1" applyBorder="1" applyAlignment="1">
      <alignment horizontal="center" vertical="center"/>
    </xf>
    <xf numFmtId="10" fontId="27" fillId="2" borderId="12" xfId="1" applyNumberFormat="1" applyFont="1" applyFill="1" applyBorder="1" applyAlignment="1">
      <alignment horizontal="center" vertical="center"/>
    </xf>
    <xf numFmtId="10" fontId="27" fillId="2" borderId="13" xfId="1" applyNumberFormat="1" applyFont="1" applyFill="1" applyBorder="1" applyAlignment="1">
      <alignment horizontal="center" vertical="center"/>
    </xf>
    <xf numFmtId="10" fontId="27" fillId="2" borderId="9" xfId="1" applyNumberFormat="1" applyFont="1" applyFill="1" applyBorder="1" applyAlignment="1">
      <alignment horizontal="center" vertical="center"/>
    </xf>
    <xf numFmtId="10" fontId="27" fillId="2" borderId="14" xfId="1" applyNumberFormat="1" applyFont="1" applyFill="1" applyBorder="1" applyAlignment="1">
      <alignment horizontal="center" vertical="center"/>
    </xf>
    <xf numFmtId="10" fontId="27" fillId="2" borderId="15" xfId="1" applyNumberFormat="1" applyFont="1" applyFill="1" applyBorder="1" applyAlignment="1">
      <alignment horizontal="center" vertical="center"/>
    </xf>
    <xf numFmtId="10" fontId="27" fillId="2" borderId="16" xfId="1" applyNumberFormat="1" applyFont="1" applyFill="1" applyBorder="1" applyAlignment="1">
      <alignment horizontal="center" vertical="center"/>
    </xf>
    <xf numFmtId="10" fontId="27" fillId="2" borderId="17" xfId="1" applyNumberFormat="1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 wrapText="1"/>
    </xf>
    <xf numFmtId="0" fontId="27" fillId="2" borderId="18" xfId="0" applyFont="1" applyFill="1" applyBorder="1">
      <alignment vertical="center"/>
    </xf>
    <xf numFmtId="0" fontId="42" fillId="2" borderId="18" xfId="0" applyFont="1" applyFill="1" applyBorder="1" applyAlignment="1">
      <alignment horizontal="center" vertical="center" wrapText="1"/>
    </xf>
    <xf numFmtId="190" fontId="27" fillId="2" borderId="0" xfId="1" applyNumberFormat="1" applyFont="1" applyFill="1" applyBorder="1" applyAlignment="1">
      <alignment horizontal="center" vertical="center"/>
    </xf>
    <xf numFmtId="190" fontId="27" fillId="2" borderId="0" xfId="2" applyNumberFormat="1" applyFont="1" applyFill="1" applyBorder="1" applyAlignment="1">
      <alignment horizontal="center" vertical="center"/>
    </xf>
    <xf numFmtId="177" fontId="11" fillId="0" borderId="18" xfId="7" applyNumberFormat="1" applyFont="1" applyBorder="1" applyAlignment="1">
      <alignment vertical="center" wrapText="1"/>
    </xf>
    <xf numFmtId="194" fontId="11" fillId="0" borderId="18" xfId="7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193" fontId="11" fillId="7" borderId="138" xfId="7" applyNumberFormat="1" applyFont="1" applyFill="1" applyBorder="1" applyAlignment="1">
      <alignment horizontal="center" vertical="center" wrapText="1"/>
    </xf>
    <xf numFmtId="194" fontId="13" fillId="5" borderId="139" xfId="7" applyNumberFormat="1" applyFont="1" applyFill="1" applyBorder="1" applyAlignment="1">
      <alignment vertical="center" wrapText="1"/>
    </xf>
    <xf numFmtId="177" fontId="11" fillId="0" borderId="18" xfId="7" applyNumberFormat="1" applyFont="1" applyBorder="1" applyAlignment="1">
      <alignment horizontal="left" vertical="top" wrapText="1"/>
    </xf>
    <xf numFmtId="194" fontId="11" fillId="0" borderId="18" xfId="7" applyNumberFormat="1" applyFont="1" applyBorder="1" applyAlignment="1">
      <alignment horizontal="left" vertical="top" wrapText="1"/>
    </xf>
    <xf numFmtId="0" fontId="30" fillId="0" borderId="0" xfId="0" applyFont="1" applyFill="1">
      <alignment vertical="center"/>
    </xf>
    <xf numFmtId="0" fontId="3" fillId="0" borderId="0" xfId="0" applyFont="1" applyFill="1">
      <alignment vertical="center"/>
    </xf>
    <xf numFmtId="9" fontId="31" fillId="0" borderId="0" xfId="1" applyFont="1" applyFill="1">
      <alignment vertical="center"/>
    </xf>
    <xf numFmtId="180" fontId="31" fillId="0" borderId="0" xfId="2" applyNumberFormat="1" applyFont="1" applyFill="1">
      <alignment vertical="center"/>
    </xf>
    <xf numFmtId="9" fontId="27" fillId="0" borderId="0" xfId="1" applyFont="1" applyFill="1">
      <alignment vertical="center"/>
    </xf>
    <xf numFmtId="180" fontId="27" fillId="0" borderId="0" xfId="2" applyNumberFormat="1" applyFont="1" applyFill="1">
      <alignment vertical="center"/>
    </xf>
    <xf numFmtId="0" fontId="27" fillId="4" borderId="80" xfId="0" applyFont="1" applyFill="1" applyBorder="1" applyAlignment="1">
      <alignment horizontal="center" vertical="center"/>
    </xf>
    <xf numFmtId="0" fontId="27" fillId="4" borderId="81" xfId="0" applyFont="1" applyFill="1" applyBorder="1" applyAlignment="1">
      <alignment horizontal="center" vertical="center"/>
    </xf>
    <xf numFmtId="9" fontId="27" fillId="4" borderId="82" xfId="1" applyFont="1" applyFill="1" applyBorder="1" applyAlignment="1">
      <alignment horizontal="center" vertical="center"/>
    </xf>
    <xf numFmtId="0" fontId="27" fillId="4" borderId="97" xfId="0" applyFont="1" applyFill="1" applyBorder="1" applyAlignment="1">
      <alignment horizontal="center" vertical="center" wrapText="1"/>
    </xf>
    <xf numFmtId="180" fontId="27" fillId="0" borderId="35" xfId="2" applyNumberFormat="1" applyFont="1" applyFill="1" applyBorder="1">
      <alignment vertical="center"/>
    </xf>
    <xf numFmtId="9" fontId="27" fillId="0" borderId="38" xfId="1" applyFont="1" applyFill="1" applyBorder="1" applyAlignment="1">
      <alignment horizontal="center" vertical="center"/>
    </xf>
    <xf numFmtId="0" fontId="27" fillId="0" borderId="191" xfId="0" applyFont="1" applyBorder="1" applyAlignment="1">
      <alignment horizontal="center" vertical="center"/>
    </xf>
    <xf numFmtId="180" fontId="27" fillId="0" borderId="191" xfId="2" applyNumberFormat="1" applyFont="1" applyFill="1" applyBorder="1">
      <alignment vertical="center"/>
    </xf>
    <xf numFmtId="9" fontId="27" fillId="0" borderId="192" xfId="1" applyFont="1" applyFill="1" applyBorder="1" applyAlignment="1">
      <alignment horizontal="center" vertical="center"/>
    </xf>
    <xf numFmtId="193" fontId="27" fillId="0" borderId="35" xfId="2" applyNumberFormat="1" applyFont="1" applyFill="1" applyBorder="1">
      <alignment vertical="center"/>
    </xf>
    <xf numFmtId="193" fontId="27" fillId="0" borderId="59" xfId="2" applyNumberFormat="1" applyFont="1" applyFill="1" applyBorder="1">
      <alignment vertical="center"/>
    </xf>
    <xf numFmtId="41" fontId="27" fillId="0" borderId="37" xfId="2" applyNumberFormat="1" applyFont="1" applyFill="1" applyBorder="1">
      <alignment vertical="center"/>
    </xf>
    <xf numFmtId="9" fontId="27" fillId="0" borderId="30" xfId="1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 wrapText="1"/>
    </xf>
    <xf numFmtId="0" fontId="27" fillId="4" borderId="114" xfId="0" applyFont="1" applyFill="1" applyBorder="1" applyAlignment="1">
      <alignment horizontal="center" vertical="center" wrapText="1"/>
    </xf>
    <xf numFmtId="0" fontId="27" fillId="4" borderId="152" xfId="0" applyFont="1" applyFill="1" applyBorder="1" applyAlignment="1">
      <alignment horizontal="center" vertical="center" wrapText="1"/>
    </xf>
    <xf numFmtId="9" fontId="27" fillId="2" borderId="19" xfId="1" applyFont="1" applyFill="1" applyBorder="1" applyAlignment="1">
      <alignment horizontal="center" vertical="center"/>
    </xf>
    <xf numFmtId="9" fontId="27" fillId="2" borderId="127" xfId="1" applyFont="1" applyFill="1" applyBorder="1" applyAlignment="1">
      <alignment horizontal="center" vertical="center"/>
    </xf>
    <xf numFmtId="180" fontId="30" fillId="6" borderId="126" xfId="2" applyNumberFormat="1" applyFont="1" applyFill="1" applyBorder="1" applyAlignment="1">
      <alignment vertical="center"/>
    </xf>
    <xf numFmtId="9" fontId="0" fillId="0" borderId="0" xfId="1" applyFont="1" applyBorder="1">
      <alignment vertical="center"/>
    </xf>
    <xf numFmtId="180" fontId="0" fillId="0" borderId="0" xfId="2" applyNumberFormat="1" applyFont="1" applyBorder="1">
      <alignment vertical="center"/>
    </xf>
    <xf numFmtId="0" fontId="27" fillId="2" borderId="0" xfId="0" applyFont="1" applyFill="1" applyBorder="1">
      <alignment vertical="center"/>
    </xf>
    <xf numFmtId="9" fontId="27" fillId="2" borderId="0" xfId="1" applyFont="1" applyFill="1" applyBorder="1">
      <alignment vertical="center"/>
    </xf>
    <xf numFmtId="180" fontId="27" fillId="2" borderId="0" xfId="2" applyNumberFormat="1" applyFont="1" applyFill="1" applyBorder="1">
      <alignment vertical="center"/>
    </xf>
    <xf numFmtId="9" fontId="0" fillId="0" borderId="0" xfId="1" applyFont="1">
      <alignment vertical="center"/>
    </xf>
    <xf numFmtId="0" fontId="42" fillId="2" borderId="18" xfId="0" applyFont="1" applyFill="1" applyBorder="1" applyAlignment="1">
      <alignment horizontal="justify" vertical="center" wrapText="1"/>
    </xf>
    <xf numFmtId="0" fontId="10" fillId="0" borderId="0" xfId="1" applyNumberFormat="1" applyFont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41" fillId="2" borderId="33" xfId="0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0" fontId="41" fillId="0" borderId="98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 wrapText="1"/>
    </xf>
    <xf numFmtId="10" fontId="2" fillId="0" borderId="0" xfId="0" applyNumberFormat="1" applyFont="1">
      <alignment vertical="center"/>
    </xf>
    <xf numFmtId="14" fontId="11" fillId="2" borderId="18" xfId="0" quotePrefix="1" applyNumberFormat="1" applyFont="1" applyFill="1" applyBorder="1" applyAlignment="1">
      <alignment horizontal="center" vertical="center" wrapText="1" shrinkToFit="1"/>
    </xf>
    <xf numFmtId="177" fontId="14" fillId="5" borderId="61" xfId="7" applyNumberFormat="1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 wrapText="1"/>
    </xf>
    <xf numFmtId="0" fontId="27" fillId="0" borderId="115" xfId="0" applyFont="1" applyFill="1" applyBorder="1" applyAlignment="1">
      <alignment horizontal="center" vertical="center"/>
    </xf>
    <xf numFmtId="0" fontId="27" fillId="2" borderId="115" xfId="0" applyFont="1" applyFill="1" applyBorder="1" applyAlignment="1">
      <alignment horizontal="center" vertical="center"/>
    </xf>
    <xf numFmtId="43" fontId="30" fillId="6" borderId="115" xfId="2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center" vertical="center" wrapText="1"/>
    </xf>
    <xf numFmtId="43" fontId="30" fillId="6" borderId="30" xfId="2" applyNumberFormat="1" applyFont="1" applyFill="1" applyBorder="1" applyAlignment="1">
      <alignment horizontal="center" vertical="center"/>
    </xf>
    <xf numFmtId="0" fontId="27" fillId="4" borderId="89" xfId="0" applyFont="1" applyFill="1" applyBorder="1" applyAlignment="1">
      <alignment horizontal="center" vertical="center"/>
    </xf>
    <xf numFmtId="0" fontId="27" fillId="4" borderId="150" xfId="0" applyFont="1" applyFill="1" applyBorder="1" applyAlignment="1">
      <alignment horizontal="center" vertical="center" shrinkToFit="1"/>
    </xf>
    <xf numFmtId="0" fontId="27" fillId="4" borderId="153" xfId="0" applyFont="1" applyFill="1" applyBorder="1" applyAlignment="1">
      <alignment horizontal="center" vertical="center" shrinkToFit="1"/>
    </xf>
    <xf numFmtId="0" fontId="27" fillId="0" borderId="53" xfId="0" applyFont="1" applyFill="1" applyBorder="1" applyAlignment="1">
      <alignment horizontal="center" vertical="center"/>
    </xf>
    <xf numFmtId="191" fontId="32" fillId="2" borderId="117" xfId="0" applyNumberFormat="1" applyFont="1" applyFill="1" applyBorder="1" applyAlignment="1">
      <alignment horizontal="center" vertical="center" wrapText="1"/>
    </xf>
    <xf numFmtId="191" fontId="32" fillId="2" borderId="118" xfId="0" applyNumberFormat="1" applyFont="1" applyFill="1" applyBorder="1" applyAlignment="1">
      <alignment horizontal="center" vertical="center" wrapText="1"/>
    </xf>
    <xf numFmtId="191" fontId="32" fillId="2" borderId="182" xfId="0" applyNumberFormat="1" applyFont="1" applyFill="1" applyBorder="1" applyAlignment="1">
      <alignment horizontal="center" vertical="center" wrapText="1"/>
    </xf>
    <xf numFmtId="0" fontId="27" fillId="0" borderId="111" xfId="0" applyFont="1" applyFill="1" applyBorder="1" applyAlignment="1">
      <alignment horizontal="center" vertical="center"/>
    </xf>
    <xf numFmtId="0" fontId="27" fillId="0" borderId="119" xfId="0" applyFont="1" applyFill="1" applyBorder="1" applyAlignment="1">
      <alignment horizontal="center" vertical="center"/>
    </xf>
    <xf numFmtId="191" fontId="27" fillId="2" borderId="120" xfId="2" applyNumberFormat="1" applyFont="1" applyFill="1" applyBorder="1" applyAlignment="1">
      <alignment vertical="center"/>
    </xf>
    <xf numFmtId="191" fontId="27" fillId="2" borderId="121" xfId="2" applyNumberFormat="1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27" fillId="0" borderId="3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7" fillId="4" borderId="18" xfId="0" applyFont="1" applyFill="1" applyBorder="1" applyAlignment="1">
      <alignment horizontal="center" vertical="center" wrapText="1"/>
    </xf>
    <xf numFmtId="191" fontId="27" fillId="2" borderId="119" xfId="2" applyNumberFormat="1" applyFont="1" applyFill="1" applyBorder="1" applyAlignment="1">
      <alignment vertical="center"/>
    </xf>
    <xf numFmtId="177" fontId="30" fillId="6" borderId="125" xfId="0" applyNumberFormat="1" applyFont="1" applyFill="1" applyBorder="1" applyAlignment="1">
      <alignment horizontal="center" vertical="center"/>
    </xf>
    <xf numFmtId="191" fontId="27" fillId="0" borderId="111" xfId="2" applyNumberFormat="1" applyFont="1" applyFill="1" applyBorder="1" applyAlignment="1">
      <alignment vertical="center"/>
    </xf>
    <xf numFmtId="177" fontId="30" fillId="6" borderId="157" xfId="0" applyNumberFormat="1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 shrinkToFit="1"/>
    </xf>
    <xf numFmtId="191" fontId="27" fillId="2" borderId="32" xfId="2" applyNumberFormat="1" applyFont="1" applyFill="1" applyBorder="1" applyAlignment="1">
      <alignment vertical="center"/>
    </xf>
    <xf numFmtId="191" fontId="27" fillId="0" borderId="93" xfId="2" applyNumberFormat="1" applyFont="1" applyFill="1" applyBorder="1" applyAlignment="1">
      <alignment vertical="center"/>
    </xf>
    <xf numFmtId="191" fontId="27" fillId="0" borderId="85" xfId="2" applyNumberFormat="1" applyFont="1" applyFill="1" applyBorder="1" applyAlignment="1">
      <alignment vertical="center"/>
    </xf>
    <xf numFmtId="10" fontId="0" fillId="0" borderId="0" xfId="0" applyNumberFormat="1" applyFont="1" applyFill="1">
      <alignment vertical="center"/>
    </xf>
    <xf numFmtId="191" fontId="27" fillId="2" borderId="118" xfId="2" applyNumberFormat="1" applyFont="1" applyFill="1" applyBorder="1" applyAlignment="1">
      <alignment vertical="center"/>
    </xf>
    <xf numFmtId="0" fontId="27" fillId="0" borderId="59" xfId="0" applyFont="1" applyFill="1" applyBorder="1" applyAlignment="1">
      <alignment horizontal="center" vertical="center"/>
    </xf>
    <xf numFmtId="191" fontId="27" fillId="0" borderId="123" xfId="0" applyNumberFormat="1" applyFont="1" applyFill="1" applyBorder="1" applyAlignment="1">
      <alignment vertical="center"/>
    </xf>
    <xf numFmtId="191" fontId="27" fillId="0" borderId="124" xfId="0" applyNumberFormat="1" applyFont="1" applyFill="1" applyBorder="1" applyAlignment="1">
      <alignment vertical="center"/>
    </xf>
    <xf numFmtId="0" fontId="27" fillId="4" borderId="110" xfId="0" applyFont="1" applyFill="1" applyBorder="1" applyAlignment="1">
      <alignment horizontal="center" vertical="center" wrapText="1"/>
    </xf>
    <xf numFmtId="0" fontId="27" fillId="4" borderId="95" xfId="0" applyFont="1" applyFill="1" applyBorder="1" applyAlignment="1">
      <alignment horizontal="center" vertical="center" wrapText="1"/>
    </xf>
    <xf numFmtId="0" fontId="27" fillId="4" borderId="112" xfId="0" applyFont="1" applyFill="1" applyBorder="1" applyAlignment="1">
      <alignment horizontal="center" vertical="center" wrapText="1"/>
    </xf>
    <xf numFmtId="41" fontId="27" fillId="2" borderId="158" xfId="2" applyFont="1" applyFill="1" applyBorder="1" applyAlignment="1">
      <alignment vertical="center"/>
    </xf>
    <xf numFmtId="41" fontId="27" fillId="2" borderId="95" xfId="2" applyFont="1" applyFill="1" applyBorder="1" applyAlignment="1">
      <alignment vertical="center"/>
    </xf>
    <xf numFmtId="180" fontId="30" fillId="6" borderId="159" xfId="2" applyNumberFormat="1" applyFont="1" applyFill="1" applyBorder="1" applyAlignment="1">
      <alignment vertical="center"/>
    </xf>
    <xf numFmtId="0" fontId="27" fillId="4" borderId="113" xfId="0" applyFont="1" applyFill="1" applyBorder="1" applyAlignment="1">
      <alignment horizontal="center" vertical="center" wrapText="1"/>
    </xf>
    <xf numFmtId="9" fontId="27" fillId="2" borderId="56" xfId="1" applyFont="1" applyFill="1" applyBorder="1">
      <alignment vertical="center"/>
    </xf>
    <xf numFmtId="9" fontId="27" fillId="2" borderId="114" xfId="1" applyFont="1" applyFill="1" applyBorder="1">
      <alignment vertical="center"/>
    </xf>
    <xf numFmtId="180" fontId="30" fillId="6" borderId="112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11" fillId="0" borderId="20" xfId="7" applyFont="1" applyBorder="1" applyAlignment="1">
      <alignment horizontal="center" vertical="center"/>
    </xf>
    <xf numFmtId="0" fontId="11" fillId="0" borderId="22" xfId="7" applyFont="1" applyBorder="1" applyAlignment="1">
      <alignment vertical="center"/>
    </xf>
    <xf numFmtId="41" fontId="11" fillId="0" borderId="20" xfId="2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41" fontId="11" fillId="2" borderId="18" xfId="2" applyFont="1" applyFill="1" applyBorder="1" applyAlignment="1">
      <alignment horizontal="center" vertical="center" wrapText="1"/>
    </xf>
    <xf numFmtId="0" fontId="11" fillId="2" borderId="31" xfId="7" applyFont="1" applyFill="1" applyBorder="1" applyAlignment="1">
      <alignment horizontal="center" vertical="top" wrapText="1"/>
    </xf>
    <xf numFmtId="0" fontId="11" fillId="2" borderId="18" xfId="0" quotePrefix="1" applyFont="1" applyFill="1" applyBorder="1" applyAlignment="1">
      <alignment horizontal="center" vertical="top" wrapText="1"/>
    </xf>
    <xf numFmtId="0" fontId="11" fillId="2" borderId="18" xfId="0" quotePrefix="1" applyFont="1" applyFill="1" applyBorder="1" applyAlignment="1">
      <alignment horizontal="center" vertical="top"/>
    </xf>
    <xf numFmtId="3" fontId="19" fillId="2" borderId="18" xfId="0" applyNumberFormat="1" applyFont="1" applyFill="1" applyBorder="1" applyAlignment="1">
      <alignment horizontal="center" vertical="top" wrapText="1"/>
    </xf>
    <xf numFmtId="189" fontId="11" fillId="2" borderId="18" xfId="7" applyNumberFormat="1" applyFont="1" applyFill="1" applyBorder="1" applyAlignment="1" applyProtection="1">
      <alignment horizontal="center" vertical="top" wrapText="1"/>
      <protection locked="0"/>
    </xf>
    <xf numFmtId="0" fontId="30" fillId="0" borderId="0" xfId="2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vertical="center"/>
    </xf>
    <xf numFmtId="0" fontId="27" fillId="0" borderId="0" xfId="2" applyNumberFormat="1" applyFont="1" applyFill="1" applyBorder="1" applyAlignment="1"/>
    <xf numFmtId="0" fontId="27" fillId="0" borderId="0" xfId="2" applyNumberFormat="1" applyFont="1" applyFill="1" applyBorder="1" applyAlignment="1">
      <alignment horizontal="center"/>
    </xf>
    <xf numFmtId="0" fontId="27" fillId="0" borderId="0" xfId="7" applyFont="1" applyBorder="1" applyAlignment="1">
      <alignment horizontal="left" vertical="top"/>
    </xf>
    <xf numFmtId="0" fontId="4" fillId="0" borderId="0" xfId="2" applyNumberFormat="1" applyFont="1" applyFill="1" applyBorder="1" applyAlignment="1">
      <alignment horizontal="center" vertical="center" wrapText="1" shrinkToFit="1"/>
    </xf>
    <xf numFmtId="0" fontId="4" fillId="0" borderId="0" xfId="2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11" fillId="0" borderId="0" xfId="0" applyFont="1" applyBorder="1">
      <alignment vertical="center"/>
    </xf>
    <xf numFmtId="180" fontId="11" fillId="0" borderId="0" xfId="2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79" fontId="11" fillId="0" borderId="32" xfId="2" applyNumberFormat="1" applyFont="1" applyFill="1" applyBorder="1" applyAlignment="1">
      <alignment horizontal="center" vertical="center" wrapText="1"/>
    </xf>
    <xf numFmtId="179" fontId="11" fillId="0" borderId="0" xfId="2" applyNumberFormat="1" applyFont="1" applyFill="1" applyBorder="1" applyAlignment="1">
      <alignment horizontal="center" vertical="center" wrapText="1"/>
    </xf>
    <xf numFmtId="177" fontId="11" fillId="0" borderId="0" xfId="0" applyNumberFormat="1" applyFont="1" applyBorder="1" applyAlignment="1">
      <alignment vertical="center" wrapText="1"/>
    </xf>
    <xf numFmtId="189" fontId="11" fillId="0" borderId="0" xfId="0" applyNumberFormat="1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  <xf numFmtId="189" fontId="11" fillId="0" borderId="0" xfId="0" applyNumberFormat="1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20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80" fontId="11" fillId="0" borderId="0" xfId="2" applyNumberFormat="1" applyFont="1" applyAlignment="1">
      <alignment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56" xfId="0" applyFont="1" applyBorder="1" applyAlignment="1">
      <alignment vertical="center"/>
    </xf>
    <xf numFmtId="10" fontId="27" fillId="0" borderId="0" xfId="0" applyNumberFormat="1" applyFont="1" applyAlignment="1">
      <alignment vertical="center" wrapText="1"/>
    </xf>
    <xf numFmtId="0" fontId="30" fillId="0" borderId="56" xfId="0" applyFont="1" applyBorder="1" applyAlignment="1">
      <alignment vertical="center" wrapText="1"/>
    </xf>
    <xf numFmtId="18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93" fontId="13" fillId="5" borderId="139" xfId="2" applyNumberFormat="1" applyFont="1" applyFill="1" applyBorder="1" applyAlignment="1">
      <alignment horizontal="center" vertical="center" wrapText="1"/>
    </xf>
    <xf numFmtId="194" fontId="13" fillId="5" borderId="139" xfId="7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191" fontId="27" fillId="2" borderId="116" xfId="0" applyNumberFormat="1" applyFont="1" applyFill="1" applyBorder="1" applyAlignment="1">
      <alignment horizontal="center" vertical="center"/>
    </xf>
    <xf numFmtId="191" fontId="27" fillId="2" borderId="26" xfId="0" applyNumberFormat="1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191" fontId="27" fillId="2" borderId="111" xfId="0" applyNumberFormat="1" applyFont="1" applyFill="1" applyBorder="1" applyAlignment="1">
      <alignment horizontal="center" vertical="center"/>
    </xf>
    <xf numFmtId="180" fontId="27" fillId="2" borderId="52" xfId="2" applyNumberFormat="1" applyFont="1" applyFill="1" applyBorder="1" applyAlignment="1">
      <alignment horizontal="center" vertical="center"/>
    </xf>
    <xf numFmtId="180" fontId="27" fillId="2" borderId="51" xfId="2" applyNumberFormat="1" applyFont="1" applyFill="1" applyBorder="1" applyAlignment="1">
      <alignment horizontal="center" vertical="center"/>
    </xf>
    <xf numFmtId="180" fontId="27" fillId="2" borderId="181" xfId="2" applyNumberFormat="1" applyFont="1" applyFill="1" applyBorder="1" applyAlignment="1">
      <alignment horizontal="center" vertical="center"/>
    </xf>
    <xf numFmtId="191" fontId="27" fillId="0" borderId="85" xfId="0" applyNumberFormat="1" applyFont="1" applyFill="1" applyBorder="1" applyAlignment="1">
      <alignment horizontal="center" vertical="center"/>
    </xf>
    <xf numFmtId="191" fontId="27" fillId="2" borderId="120" xfId="2" applyNumberFormat="1" applyFont="1" applyFill="1" applyBorder="1" applyAlignment="1">
      <alignment horizontal="center" vertical="center"/>
    </xf>
    <xf numFmtId="191" fontId="27" fillId="2" borderId="121" xfId="2" applyNumberFormat="1" applyFont="1" applyFill="1" applyBorder="1" applyAlignment="1">
      <alignment horizontal="center" vertical="center"/>
    </xf>
    <xf numFmtId="191" fontId="27" fillId="0" borderId="122" xfId="0" applyNumberFormat="1" applyFont="1" applyFill="1" applyBorder="1" applyAlignment="1">
      <alignment horizontal="center" vertical="center"/>
    </xf>
    <xf numFmtId="191" fontId="27" fillId="0" borderId="114" xfId="0" applyNumberFormat="1" applyFont="1" applyFill="1" applyBorder="1" applyAlignment="1">
      <alignment horizontal="center" vertical="center"/>
    </xf>
    <xf numFmtId="198" fontId="27" fillId="0" borderId="35" xfId="2" applyNumberFormat="1" applyFont="1" applyFill="1" applyBorder="1" applyAlignment="1">
      <alignment horizontal="center" vertical="center"/>
    </xf>
    <xf numFmtId="213" fontId="27" fillId="0" borderId="35" xfId="2" applyNumberFormat="1" applyFont="1" applyFill="1" applyBorder="1" applyAlignment="1">
      <alignment horizontal="center" vertical="center"/>
    </xf>
    <xf numFmtId="198" fontId="27" fillId="0" borderId="36" xfId="2" applyNumberFormat="1" applyFont="1" applyFill="1" applyBorder="1" applyAlignment="1">
      <alignment horizontal="center" vertical="center"/>
    </xf>
    <xf numFmtId="213" fontId="27" fillId="0" borderId="36" xfId="2" applyNumberFormat="1" applyFont="1" applyFill="1" applyBorder="1" applyAlignment="1">
      <alignment horizontal="center" vertical="center"/>
    </xf>
    <xf numFmtId="198" fontId="27" fillId="0" borderId="37" xfId="2" applyNumberFormat="1" applyFont="1" applyFill="1" applyBorder="1" applyAlignment="1">
      <alignment horizontal="center" vertical="center"/>
    </xf>
    <xf numFmtId="213" fontId="27" fillId="0" borderId="37" xfId="2" applyNumberFormat="1" applyFont="1" applyFill="1" applyBorder="1" applyAlignment="1">
      <alignment horizontal="center" vertical="center"/>
    </xf>
    <xf numFmtId="2" fontId="30" fillId="9" borderId="78" xfId="2" applyNumberFormat="1" applyFont="1" applyFill="1" applyBorder="1" applyAlignment="1">
      <alignment horizontal="center" vertical="center"/>
    </xf>
    <xf numFmtId="217" fontId="11" fillId="3" borderId="3" xfId="2" applyNumberFormat="1" applyFont="1" applyFill="1" applyBorder="1" applyAlignment="1">
      <alignment horizontal="center" vertical="center" wrapText="1"/>
    </xf>
    <xf numFmtId="218" fontId="11" fillId="3" borderId="3" xfId="2" applyNumberFormat="1" applyFont="1" applyFill="1" applyBorder="1" applyAlignment="1">
      <alignment horizontal="center" vertical="center" wrapText="1"/>
    </xf>
    <xf numFmtId="219" fontId="11" fillId="4" borderId="3" xfId="1" applyNumberFormat="1" applyFont="1" applyFill="1" applyBorder="1" applyAlignment="1">
      <alignment horizontal="center" vertical="center" wrapText="1"/>
    </xf>
    <xf numFmtId="2" fontId="30" fillId="0" borderId="18" xfId="2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180" fontId="13" fillId="0" borderId="18" xfId="2" applyNumberFormat="1" applyFont="1" applyFill="1" applyBorder="1" applyAlignment="1">
      <alignment horizontal="center" vertical="center"/>
    </xf>
    <xf numFmtId="0" fontId="12" fillId="0" borderId="18" xfId="7" applyFont="1" applyFill="1" applyBorder="1" applyAlignment="1">
      <alignment horizontal="center" vertical="center" wrapText="1"/>
    </xf>
    <xf numFmtId="0" fontId="11" fillId="0" borderId="33" xfId="7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180" fontId="11" fillId="0" borderId="2" xfId="2" applyNumberFormat="1" applyFont="1" applyBorder="1" applyAlignment="1">
      <alignment horizontal="center" vertical="center" wrapText="1"/>
    </xf>
    <xf numFmtId="0" fontId="12" fillId="0" borderId="18" xfId="7" applyFont="1" applyFill="1" applyBorder="1" applyAlignment="1">
      <alignment horizontal="center" vertical="center" wrapText="1"/>
    </xf>
    <xf numFmtId="0" fontId="12" fillId="0" borderId="33" xfId="7" applyFont="1" applyBorder="1" applyAlignment="1">
      <alignment horizontal="center" vertical="center" wrapText="1"/>
    </xf>
    <xf numFmtId="0" fontId="12" fillId="0" borderId="28" xfId="7" applyFont="1" applyFill="1" applyBorder="1" applyAlignment="1">
      <alignment horizontal="center" vertical="center" wrapText="1"/>
    </xf>
    <xf numFmtId="189" fontId="11" fillId="12" borderId="18" xfId="7" applyNumberFormat="1" applyFont="1" applyFill="1" applyBorder="1" applyAlignment="1" applyProtection="1">
      <alignment horizontal="center" vertical="center" wrapText="1"/>
      <protection locked="0"/>
    </xf>
    <xf numFmtId="177" fontId="11" fillId="12" borderId="18" xfId="7" applyNumberFormat="1" applyFont="1" applyFill="1" applyBorder="1" applyAlignment="1">
      <alignment horizontal="center" vertical="center" wrapText="1"/>
    </xf>
    <xf numFmtId="49" fontId="12" fillId="0" borderId="18" xfId="7" applyNumberFormat="1" applyFont="1" applyFill="1" applyBorder="1" applyAlignment="1">
      <alignment horizontal="center" vertical="center" wrapText="1"/>
    </xf>
    <xf numFmtId="0" fontId="11" fillId="2" borderId="98" xfId="7" applyFont="1" applyFill="1" applyBorder="1" applyAlignment="1">
      <alignment horizontal="center" vertical="center" wrapText="1"/>
    </xf>
    <xf numFmtId="0" fontId="11" fillId="2" borderId="61" xfId="7" applyFont="1" applyFill="1" applyBorder="1" applyAlignment="1">
      <alignment vertical="center" wrapText="1"/>
    </xf>
    <xf numFmtId="0" fontId="11" fillId="2" borderId="61" xfId="7" applyFont="1" applyFill="1" applyBorder="1" applyAlignment="1">
      <alignment horizontal="center" vertical="center" wrapText="1"/>
    </xf>
    <xf numFmtId="14" fontId="11" fillId="2" borderId="61" xfId="1" applyNumberFormat="1" applyFont="1" applyFill="1" applyBorder="1" applyAlignment="1">
      <alignment horizontal="center" vertical="center" wrapText="1"/>
    </xf>
    <xf numFmtId="41" fontId="11" fillId="2" borderId="61" xfId="2" applyFont="1" applyFill="1" applyBorder="1" applyAlignment="1">
      <alignment vertical="center" wrapText="1"/>
    </xf>
    <xf numFmtId="193" fontId="11" fillId="0" borderId="61" xfId="2" applyNumberFormat="1" applyFont="1" applyBorder="1" applyAlignment="1">
      <alignment horizontal="right" vertical="center" wrapText="1"/>
    </xf>
    <xf numFmtId="177" fontId="11" fillId="0" borderId="61" xfId="7" applyNumberFormat="1" applyFont="1" applyBorder="1" applyAlignment="1">
      <alignment vertical="center" wrapText="1"/>
    </xf>
    <xf numFmtId="194" fontId="11" fillId="0" borderId="61" xfId="7" applyNumberFormat="1" applyFont="1" applyBorder="1" applyAlignment="1">
      <alignment vertical="center" wrapText="1"/>
    </xf>
    <xf numFmtId="177" fontId="11" fillId="7" borderId="139" xfId="7" applyNumberFormat="1" applyFont="1" applyFill="1" applyBorder="1" applyAlignment="1">
      <alignment vertical="center" wrapText="1"/>
    </xf>
    <xf numFmtId="0" fontId="11" fillId="2" borderId="98" xfId="7" applyFont="1" applyFill="1" applyBorder="1" applyAlignment="1">
      <alignment vertical="top" wrapText="1"/>
    </xf>
    <xf numFmtId="0" fontId="11" fillId="2" borderId="61" xfId="7" applyFont="1" applyFill="1" applyBorder="1" applyAlignment="1">
      <alignment horizontal="left" vertical="top" wrapText="1"/>
    </xf>
    <xf numFmtId="0" fontId="11" fillId="2" borderId="61" xfId="7" applyFont="1" applyFill="1" applyBorder="1" applyAlignment="1">
      <alignment horizontal="center" vertical="top" wrapText="1"/>
    </xf>
    <xf numFmtId="14" fontId="11" fillId="2" borderId="61" xfId="1" applyNumberFormat="1" applyFont="1" applyFill="1" applyBorder="1" applyAlignment="1">
      <alignment horizontal="center" vertical="top" wrapText="1"/>
    </xf>
    <xf numFmtId="41" fontId="11" fillId="2" borderId="61" xfId="2" applyFont="1" applyFill="1" applyBorder="1" applyAlignment="1">
      <alignment vertical="top" wrapText="1"/>
    </xf>
    <xf numFmtId="41" fontId="11" fillId="2" borderId="61" xfId="2" applyFont="1" applyFill="1" applyBorder="1" applyAlignment="1">
      <alignment horizontal="center" vertical="top" wrapText="1"/>
    </xf>
    <xf numFmtId="0" fontId="11" fillId="2" borderId="61" xfId="7" applyFont="1" applyFill="1" applyBorder="1" applyAlignment="1">
      <alignment vertical="top" wrapText="1"/>
    </xf>
    <xf numFmtId="193" fontId="11" fillId="0" borderId="61" xfId="2" applyNumberFormat="1" applyFont="1" applyBorder="1" applyAlignment="1">
      <alignment horizontal="left" vertical="top" wrapText="1"/>
    </xf>
    <xf numFmtId="177" fontId="11" fillId="0" borderId="61" xfId="7" applyNumberFormat="1" applyFont="1" applyBorder="1" applyAlignment="1">
      <alignment horizontal="left" vertical="top" wrapText="1"/>
    </xf>
    <xf numFmtId="194" fontId="11" fillId="0" borderId="61" xfId="7" applyNumberFormat="1" applyFont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center" wrapText="1"/>
    </xf>
    <xf numFmtId="0" fontId="11" fillId="2" borderId="61" xfId="7" applyFont="1" applyFill="1" applyBorder="1" applyAlignment="1">
      <alignment vertical="center" shrinkToFit="1"/>
    </xf>
    <xf numFmtId="0" fontId="11" fillId="2" borderId="61" xfId="0" applyFont="1" applyFill="1" applyBorder="1" applyAlignment="1">
      <alignment horizontal="center" vertical="center" wrapText="1"/>
    </xf>
    <xf numFmtId="205" fontId="11" fillId="2" borderId="61" xfId="0" applyNumberFormat="1" applyFont="1" applyFill="1" applyBorder="1" applyAlignment="1">
      <alignment horizontal="center" vertical="center"/>
    </xf>
    <xf numFmtId="195" fontId="11" fillId="2" borderId="61" xfId="2" applyNumberFormat="1" applyFont="1" applyFill="1" applyBorder="1" applyAlignment="1">
      <alignment horizontal="right" vertical="center" wrapText="1"/>
    </xf>
    <xf numFmtId="206" fontId="11" fillId="2" borderId="61" xfId="0" applyNumberFormat="1" applyFont="1" applyFill="1" applyBorder="1" applyAlignment="1">
      <alignment horizontal="right" vertical="center"/>
    </xf>
    <xf numFmtId="0" fontId="11" fillId="0" borderId="164" xfId="7" applyFont="1" applyBorder="1" applyAlignment="1">
      <alignment horizontal="center" vertical="center" wrapText="1"/>
    </xf>
    <xf numFmtId="180" fontId="27" fillId="0" borderId="36" xfId="2" applyNumberFormat="1" applyFont="1" applyFill="1" applyBorder="1">
      <alignment vertical="center"/>
    </xf>
    <xf numFmtId="9" fontId="27" fillId="0" borderId="270" xfId="1" applyFont="1" applyFill="1" applyBorder="1" applyAlignment="1">
      <alignment horizontal="center" vertical="center"/>
    </xf>
    <xf numFmtId="41" fontId="27" fillId="2" borderId="184" xfId="2" applyNumberFormat="1" applyFont="1" applyFill="1" applyBorder="1">
      <alignment vertical="center"/>
    </xf>
    <xf numFmtId="41" fontId="27" fillId="2" borderId="271" xfId="2" applyNumberFormat="1" applyFont="1" applyFill="1" applyBorder="1">
      <alignment vertical="center"/>
    </xf>
    <xf numFmtId="41" fontId="27" fillId="2" borderId="186" xfId="2" applyNumberFormat="1" applyFont="1" applyFill="1" applyBorder="1">
      <alignment vertical="center"/>
    </xf>
    <xf numFmtId="41" fontId="27" fillId="2" borderId="272" xfId="2" applyNumberFormat="1" applyFont="1" applyFill="1" applyBorder="1">
      <alignment vertical="center"/>
    </xf>
    <xf numFmtId="41" fontId="27" fillId="2" borderId="188" xfId="2" applyNumberFormat="1" applyFont="1" applyFill="1" applyBorder="1">
      <alignment vertical="center"/>
    </xf>
    <xf numFmtId="41" fontId="27" fillId="2" borderId="273" xfId="2" applyNumberFormat="1" applyFont="1" applyFill="1" applyBorder="1">
      <alignment vertical="center"/>
    </xf>
    <xf numFmtId="198" fontId="27" fillId="0" borderId="186" xfId="2" applyNumberFormat="1" applyFont="1" applyFill="1" applyBorder="1">
      <alignment vertical="center"/>
    </xf>
    <xf numFmtId="198" fontId="27" fillId="0" borderId="188" xfId="2" applyNumberFormat="1" applyFont="1" applyFill="1" applyBorder="1">
      <alignment vertical="center"/>
    </xf>
    <xf numFmtId="177" fontId="27" fillId="0" borderId="187" xfId="0" applyNumberFormat="1" applyFont="1" applyFill="1" applyBorder="1" applyAlignment="1">
      <alignment vertical="center"/>
    </xf>
    <xf numFmtId="177" fontId="27" fillId="0" borderId="189" xfId="0" applyNumberFormat="1" applyFont="1" applyFill="1" applyBorder="1" applyAlignment="1">
      <alignment vertical="center"/>
    </xf>
    <xf numFmtId="186" fontId="27" fillId="0" borderId="187" xfId="0" applyNumberFormat="1" applyFont="1" applyBorder="1" applyAlignment="1">
      <alignment vertical="center"/>
    </xf>
    <xf numFmtId="186" fontId="27" fillId="0" borderId="189" xfId="0" applyNumberFormat="1" applyFont="1" applyBorder="1" applyAlignment="1">
      <alignment vertical="center"/>
    </xf>
    <xf numFmtId="198" fontId="27" fillId="0" borderId="250" xfId="2" applyNumberFormat="1" applyFont="1" applyFill="1" applyBorder="1">
      <alignment vertical="center"/>
    </xf>
    <xf numFmtId="188" fontId="27" fillId="0" borderId="145" xfId="2" applyNumberFormat="1" applyFont="1" applyFill="1" applyBorder="1">
      <alignment vertical="center"/>
    </xf>
    <xf numFmtId="177" fontId="27" fillId="0" borderId="145" xfId="0" applyNumberFormat="1" applyFont="1" applyFill="1" applyBorder="1" applyAlignment="1">
      <alignment vertical="center"/>
    </xf>
    <xf numFmtId="188" fontId="27" fillId="0" borderId="250" xfId="2" applyNumberFormat="1" applyFont="1" applyFill="1" applyBorder="1">
      <alignment vertical="center"/>
    </xf>
    <xf numFmtId="186" fontId="27" fillId="0" borderId="145" xfId="0" applyNumberFormat="1" applyFont="1" applyBorder="1" applyAlignment="1">
      <alignment vertical="center"/>
    </xf>
    <xf numFmtId="9" fontId="27" fillId="0" borderId="274" xfId="1" applyFont="1" applyFill="1" applyBorder="1" applyAlignment="1">
      <alignment horizontal="center" vertical="center"/>
    </xf>
    <xf numFmtId="0" fontId="27" fillId="4" borderId="188" xfId="0" applyFont="1" applyFill="1" applyBorder="1" applyAlignment="1">
      <alignment horizontal="center" vertical="center"/>
    </xf>
    <xf numFmtId="0" fontId="27" fillId="4" borderId="189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 wrapText="1"/>
    </xf>
    <xf numFmtId="0" fontId="0" fillId="10" borderId="112" xfId="0" applyFont="1" applyFill="1" applyBorder="1" applyAlignment="1">
      <alignment horizontal="center" vertical="center" shrinkToFit="1"/>
    </xf>
    <xf numFmtId="0" fontId="0" fillId="0" borderId="275" xfId="0" applyFont="1" applyBorder="1" applyAlignment="1">
      <alignment horizontal="center" vertical="center" wrapText="1"/>
    </xf>
    <xf numFmtId="0" fontId="41" fillId="0" borderId="171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horizontal="center" vertical="center" wrapText="1"/>
    </xf>
    <xf numFmtId="0" fontId="42" fillId="2" borderId="89" xfId="0" applyFont="1" applyFill="1" applyBorder="1" applyAlignment="1">
      <alignment horizontal="center" vertical="center" wrapText="1"/>
    </xf>
    <xf numFmtId="0" fontId="41" fillId="2" borderId="133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24" fillId="2" borderId="201" xfId="0" applyFont="1" applyFill="1" applyBorder="1" applyAlignment="1">
      <alignment horizontal="center" vertical="center" wrapText="1"/>
    </xf>
    <xf numFmtId="0" fontId="24" fillId="2" borderId="202" xfId="0" applyFont="1" applyFill="1" applyBorder="1" applyAlignment="1">
      <alignment horizontal="center" vertical="center" wrapText="1"/>
    </xf>
    <xf numFmtId="0" fontId="24" fillId="2" borderId="203" xfId="0" applyFont="1" applyFill="1" applyBorder="1" applyAlignment="1">
      <alignment horizontal="center" vertical="center" wrapText="1"/>
    </xf>
    <xf numFmtId="0" fontId="12" fillId="0" borderId="74" xfId="2" applyNumberFormat="1" applyFont="1" applyBorder="1" applyAlignment="1">
      <alignment horizontal="center" vertical="center" wrapText="1"/>
    </xf>
    <xf numFmtId="0" fontId="12" fillId="0" borderId="20" xfId="2" applyNumberFormat="1" applyFont="1" applyBorder="1" applyAlignment="1">
      <alignment horizontal="center" vertical="center" wrapText="1"/>
    </xf>
    <xf numFmtId="0" fontId="12" fillId="0" borderId="2" xfId="2" applyNumberFormat="1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180" fontId="11" fillId="0" borderId="74" xfId="2" applyNumberFormat="1" applyFont="1" applyFill="1" applyBorder="1" applyAlignment="1">
      <alignment horizontal="center" vertical="center" wrapText="1"/>
    </xf>
    <xf numFmtId="180" fontId="11" fillId="0" borderId="20" xfId="2" applyNumberFormat="1" applyFont="1" applyFill="1" applyBorder="1" applyAlignment="1">
      <alignment horizontal="center" vertical="center" wrapText="1"/>
    </xf>
    <xf numFmtId="180" fontId="11" fillId="0" borderId="2" xfId="2" applyNumberFormat="1" applyFont="1" applyFill="1" applyBorder="1" applyAlignment="1">
      <alignment horizontal="center" vertical="center" wrapText="1"/>
    </xf>
    <xf numFmtId="180" fontId="11" fillId="0" borderId="3" xfId="2" applyNumberFormat="1" applyFont="1" applyBorder="1" applyAlignment="1">
      <alignment horizontal="center" vertical="center" wrapText="1"/>
    </xf>
    <xf numFmtId="180" fontId="11" fillId="0" borderId="156" xfId="2" applyNumberFormat="1" applyFont="1" applyBorder="1" applyAlignment="1">
      <alignment horizontal="center" vertical="center" wrapText="1"/>
    </xf>
    <xf numFmtId="180" fontId="11" fillId="0" borderId="22" xfId="2" applyNumberFormat="1" applyFont="1" applyBorder="1" applyAlignment="1">
      <alignment horizontal="center" vertical="center" wrapText="1"/>
    </xf>
    <xf numFmtId="180" fontId="11" fillId="0" borderId="200" xfId="2" applyNumberFormat="1" applyFont="1" applyBorder="1" applyAlignment="1">
      <alignment horizontal="center" vertical="center" wrapText="1"/>
    </xf>
    <xf numFmtId="180" fontId="12" fillId="0" borderId="76" xfId="2" applyNumberFormat="1" applyFont="1" applyBorder="1" applyAlignment="1">
      <alignment horizontal="center" vertical="center" wrapText="1"/>
    </xf>
    <xf numFmtId="180" fontId="12" fillId="0" borderId="3" xfId="2" applyNumberFormat="1" applyFont="1" applyBorder="1" applyAlignment="1">
      <alignment horizontal="center" vertical="center" wrapText="1"/>
    </xf>
    <xf numFmtId="180" fontId="11" fillId="0" borderId="74" xfId="2" applyNumberFormat="1" applyFont="1" applyBorder="1" applyAlignment="1">
      <alignment horizontal="center" vertical="center" wrapText="1"/>
    </xf>
    <xf numFmtId="180" fontId="11" fillId="0" borderId="2" xfId="2" applyNumberFormat="1" applyFont="1" applyBorder="1" applyAlignment="1">
      <alignment horizontal="center" vertical="center" wrapText="1"/>
    </xf>
    <xf numFmtId="180" fontId="11" fillId="0" borderId="20" xfId="2" applyNumberFormat="1" applyFont="1" applyBorder="1" applyAlignment="1">
      <alignment horizontal="center" vertical="center" wrapText="1"/>
    </xf>
    <xf numFmtId="180" fontId="11" fillId="0" borderId="156" xfId="2" applyNumberFormat="1" applyFont="1" applyFill="1" applyBorder="1" applyAlignment="1">
      <alignment horizontal="center" vertical="center" wrapText="1"/>
    </xf>
    <xf numFmtId="180" fontId="11" fillId="0" borderId="22" xfId="2" applyNumberFormat="1" applyFont="1" applyFill="1" applyBorder="1" applyAlignment="1">
      <alignment horizontal="center" vertical="center" wrapText="1"/>
    </xf>
    <xf numFmtId="180" fontId="11" fillId="0" borderId="4" xfId="2" applyNumberFormat="1" applyFont="1" applyBorder="1" applyAlignment="1">
      <alignment horizontal="left" vertical="center" wrapText="1"/>
    </xf>
    <xf numFmtId="180" fontId="11" fillId="0" borderId="8" xfId="2" applyNumberFormat="1" applyFont="1" applyBorder="1" applyAlignment="1">
      <alignment horizontal="left" vertical="center" wrapText="1"/>
    </xf>
    <xf numFmtId="0" fontId="11" fillId="5" borderId="196" xfId="2" applyNumberFormat="1" applyFont="1" applyFill="1" applyBorder="1" applyAlignment="1">
      <alignment horizontal="center" vertical="center" wrapText="1"/>
    </xf>
    <xf numFmtId="0" fontId="11" fillId="5" borderId="197" xfId="2" applyNumberFormat="1" applyFont="1" applyFill="1" applyBorder="1" applyAlignment="1">
      <alignment horizontal="center" vertical="center" wrapText="1"/>
    </xf>
    <xf numFmtId="0" fontId="11" fillId="5" borderId="156" xfId="2" applyNumberFormat="1" applyFont="1" applyFill="1" applyBorder="1" applyAlignment="1">
      <alignment horizontal="center" vertical="center" wrapText="1"/>
    </xf>
    <xf numFmtId="0" fontId="11" fillId="5" borderId="7" xfId="2" applyNumberFormat="1" applyFont="1" applyFill="1" applyBorder="1" applyAlignment="1">
      <alignment horizontal="center" vertical="center" wrapText="1"/>
    </xf>
    <xf numFmtId="0" fontId="11" fillId="5" borderId="194" xfId="2" applyNumberFormat="1" applyFont="1" applyFill="1" applyBorder="1" applyAlignment="1">
      <alignment horizontal="center" vertical="center" wrapText="1"/>
    </xf>
    <xf numFmtId="0" fontId="11" fillId="5" borderId="200" xfId="2" applyNumberFormat="1" applyFont="1" applyFill="1" applyBorder="1" applyAlignment="1">
      <alignment horizontal="center" vertical="center" wrapText="1"/>
    </xf>
    <xf numFmtId="0" fontId="11" fillId="4" borderId="4" xfId="2" applyNumberFormat="1" applyFont="1" applyFill="1" applyBorder="1" applyAlignment="1">
      <alignment horizontal="left" vertical="center" wrapText="1"/>
    </xf>
    <xf numFmtId="0" fontId="11" fillId="4" borderId="8" xfId="2" applyNumberFormat="1" applyFont="1" applyFill="1" applyBorder="1" applyAlignment="1">
      <alignment horizontal="left" vertical="center" wrapText="1"/>
    </xf>
    <xf numFmtId="0" fontId="11" fillId="4" borderId="76" xfId="2" applyNumberFormat="1" applyFont="1" applyFill="1" applyBorder="1" applyAlignment="1">
      <alignment horizontal="left" vertical="center" wrapText="1"/>
    </xf>
    <xf numFmtId="0" fontId="12" fillId="0" borderId="3" xfId="2" applyNumberFormat="1" applyFont="1" applyFill="1" applyBorder="1" applyAlignment="1">
      <alignment horizontal="center" vertical="center" wrapText="1"/>
    </xf>
    <xf numFmtId="0" fontId="12" fillId="0" borderId="74" xfId="2" applyNumberFormat="1" applyFont="1" applyFill="1" applyBorder="1" applyAlignment="1">
      <alignment horizontal="center" vertical="center" wrapText="1"/>
    </xf>
    <xf numFmtId="0" fontId="12" fillId="0" borderId="20" xfId="2" applyNumberFormat="1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 wrapText="1"/>
    </xf>
    <xf numFmtId="180" fontId="11" fillId="0" borderId="200" xfId="2" applyNumberFormat="1" applyFont="1" applyFill="1" applyBorder="1" applyAlignment="1">
      <alignment horizontal="center" vertical="center" wrapText="1"/>
    </xf>
    <xf numFmtId="180" fontId="11" fillId="0" borderId="0" xfId="2" applyNumberFormat="1" applyFont="1" applyBorder="1" applyAlignment="1">
      <alignment horizontal="right" vertical="center"/>
    </xf>
    <xf numFmtId="180" fontId="11" fillId="0" borderId="198" xfId="2" applyNumberFormat="1" applyFont="1" applyFill="1" applyBorder="1" applyAlignment="1">
      <alignment horizontal="center" vertical="center" wrapText="1"/>
    </xf>
    <xf numFmtId="180" fontId="11" fillId="0" borderId="3" xfId="2" applyNumberFormat="1" applyFont="1" applyFill="1" applyBorder="1" applyAlignment="1">
      <alignment horizontal="center" vertical="center" wrapText="1"/>
    </xf>
    <xf numFmtId="180" fontId="28" fillId="3" borderId="195" xfId="2" applyNumberFormat="1" applyFont="1" applyFill="1" applyBorder="1" applyAlignment="1">
      <alignment horizontal="center" vertical="center" wrapText="1"/>
    </xf>
    <xf numFmtId="180" fontId="28" fillId="3" borderId="19" xfId="2" applyNumberFormat="1" applyFont="1" applyFill="1" applyBorder="1" applyAlignment="1">
      <alignment horizontal="center" vertical="center" wrapText="1"/>
    </xf>
    <xf numFmtId="180" fontId="12" fillId="0" borderId="110" xfId="2" applyNumberFormat="1" applyFont="1" applyBorder="1" applyAlignment="1">
      <alignment horizontal="center" vertical="center" wrapText="1"/>
    </xf>
    <xf numFmtId="187" fontId="28" fillId="4" borderId="204" xfId="2" applyNumberFormat="1" applyFont="1" applyFill="1" applyBorder="1" applyAlignment="1">
      <alignment horizontal="center" vertical="center"/>
    </xf>
    <xf numFmtId="187" fontId="28" fillId="4" borderId="205" xfId="2" applyNumberFormat="1" applyFont="1" applyFill="1" applyBorder="1" applyAlignment="1">
      <alignment horizontal="center" vertical="center"/>
    </xf>
    <xf numFmtId="187" fontId="28" fillId="4" borderId="206" xfId="2" applyNumberFormat="1" applyFont="1" applyFill="1" applyBorder="1" applyAlignment="1">
      <alignment horizontal="center" vertical="center"/>
    </xf>
    <xf numFmtId="180" fontId="3" fillId="0" borderId="56" xfId="2" applyNumberFormat="1" applyFont="1" applyBorder="1" applyAlignment="1">
      <alignment horizontal="left" vertical="center" wrapText="1"/>
    </xf>
    <xf numFmtId="180" fontId="3" fillId="0" borderId="0" xfId="2" applyNumberFormat="1" applyFont="1" applyBorder="1" applyAlignment="1">
      <alignment horizontal="left" vertical="center" wrapText="1"/>
    </xf>
    <xf numFmtId="180" fontId="11" fillId="0" borderId="199" xfId="2" applyNumberFormat="1" applyFont="1" applyBorder="1" applyAlignment="1">
      <alignment horizontal="center" vertical="center" wrapText="1"/>
    </xf>
    <xf numFmtId="180" fontId="11" fillId="0" borderId="62" xfId="2" applyNumberFormat="1" applyFont="1" applyBorder="1" applyAlignment="1">
      <alignment horizontal="center" vertical="center" wrapText="1"/>
    </xf>
    <xf numFmtId="180" fontId="11" fillId="0" borderId="152" xfId="2" applyNumberFormat="1" applyFont="1" applyBorder="1" applyAlignment="1">
      <alignment horizontal="center" vertical="center" wrapText="1"/>
    </xf>
    <xf numFmtId="0" fontId="10" fillId="0" borderId="89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193" xfId="0" applyFont="1" applyFill="1" applyBorder="1" applyAlignment="1">
      <alignment horizontal="center" vertical="center"/>
    </xf>
    <xf numFmtId="0" fontId="10" fillId="0" borderId="216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0" fillId="0" borderId="149" xfId="0" applyFont="1" applyFill="1" applyBorder="1" applyAlignment="1">
      <alignment horizontal="center" vertical="center"/>
    </xf>
    <xf numFmtId="0" fontId="10" fillId="0" borderId="269" xfId="0" applyFont="1" applyFill="1" applyBorder="1" applyAlignment="1">
      <alignment horizontal="center" vertical="center"/>
    </xf>
    <xf numFmtId="0" fontId="10" fillId="0" borderId="130" xfId="0" applyFont="1" applyFill="1" applyBorder="1" applyAlignment="1">
      <alignment horizontal="center" vertical="center"/>
    </xf>
    <xf numFmtId="0" fontId="10" fillId="0" borderId="157" xfId="0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110" xfId="0" applyFont="1" applyFill="1" applyBorder="1" applyAlignment="1">
      <alignment horizontal="center" vertical="center"/>
    </xf>
    <xf numFmtId="0" fontId="25" fillId="0" borderId="11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50" xfId="0" applyFont="1" applyFill="1" applyBorder="1" applyAlignment="1">
      <alignment horizontal="center" vertical="center"/>
    </xf>
    <xf numFmtId="0" fontId="13" fillId="4" borderId="153" xfId="0" applyFont="1" applyFill="1" applyBorder="1" applyAlignment="1">
      <alignment horizontal="center" vertical="center"/>
    </xf>
    <xf numFmtId="0" fontId="13" fillId="4" borderId="207" xfId="0" applyFont="1" applyFill="1" applyBorder="1" applyAlignment="1">
      <alignment horizontal="center" vertical="center"/>
    </xf>
    <xf numFmtId="0" fontId="13" fillId="4" borderId="8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190" xfId="0" applyFont="1" applyFill="1" applyBorder="1" applyAlignment="1">
      <alignment horizontal="center" vertical="center"/>
    </xf>
    <xf numFmtId="0" fontId="13" fillId="4" borderId="208" xfId="0" applyFont="1" applyFill="1" applyBorder="1" applyAlignment="1">
      <alignment horizontal="center" vertical="center"/>
    </xf>
    <xf numFmtId="0" fontId="13" fillId="0" borderId="116" xfId="0" applyFont="1" applyFill="1" applyBorder="1" applyAlignment="1">
      <alignment horizontal="center" vertical="center"/>
    </xf>
    <xf numFmtId="0" fontId="13" fillId="0" borderId="215" xfId="0" applyFont="1" applyFill="1" applyBorder="1" applyAlignment="1">
      <alignment horizontal="center" vertical="center"/>
    </xf>
    <xf numFmtId="0" fontId="13" fillId="0" borderId="142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193" xfId="0" applyFont="1" applyFill="1" applyBorder="1" applyAlignment="1">
      <alignment horizontal="center" vertical="center"/>
    </xf>
    <xf numFmtId="0" fontId="13" fillId="0" borderId="216" xfId="0" applyFont="1" applyFill="1" applyBorder="1" applyAlignment="1">
      <alignment horizontal="center" vertical="center"/>
    </xf>
    <xf numFmtId="0" fontId="10" fillId="0" borderId="238" xfId="0" applyFont="1" applyFill="1" applyBorder="1" applyAlignment="1">
      <alignment horizontal="center" vertical="center"/>
    </xf>
    <xf numFmtId="0" fontId="10" fillId="0" borderId="239" xfId="0" applyFont="1" applyFill="1" applyBorder="1" applyAlignment="1">
      <alignment horizontal="center" vertical="center"/>
    </xf>
    <xf numFmtId="0" fontId="10" fillId="0" borderId="241" xfId="0" applyFont="1" applyFill="1" applyBorder="1" applyAlignment="1">
      <alignment horizontal="center" vertical="center"/>
    </xf>
    <xf numFmtId="0" fontId="10" fillId="0" borderId="24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09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left" vertical="center"/>
    </xf>
    <xf numFmtId="0" fontId="13" fillId="0" borderId="89" xfId="0" applyFont="1" applyFill="1" applyBorder="1" applyAlignment="1">
      <alignment horizontal="center" vertical="center" wrapText="1"/>
    </xf>
    <xf numFmtId="0" fontId="10" fillId="0" borderId="210" xfId="0" applyFont="1" applyFill="1" applyBorder="1" applyAlignment="1">
      <alignment horizontal="center" vertical="center"/>
    </xf>
    <xf numFmtId="0" fontId="10" fillId="0" borderId="172" xfId="0" applyFont="1" applyFill="1" applyBorder="1" applyAlignment="1">
      <alignment horizontal="center" vertical="center"/>
    </xf>
    <xf numFmtId="0" fontId="10" fillId="0" borderId="211" xfId="0" applyFont="1" applyFill="1" applyBorder="1" applyAlignment="1">
      <alignment horizontal="center" vertical="center"/>
    </xf>
    <xf numFmtId="0" fontId="10" fillId="0" borderId="21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3" fillId="0" borderId="115" xfId="0" applyFont="1" applyFill="1" applyBorder="1" applyAlignment="1">
      <alignment horizontal="center" vertical="center"/>
    </xf>
    <xf numFmtId="0" fontId="10" fillId="0" borderId="213" xfId="0" applyFont="1" applyFill="1" applyBorder="1" applyAlignment="1">
      <alignment horizontal="center" vertical="center"/>
    </xf>
    <xf numFmtId="0" fontId="10" fillId="0" borderId="130" xfId="0" applyFont="1" applyFill="1" applyBorder="1" applyAlignment="1">
      <alignment horizontal="center" vertical="center" wrapText="1"/>
    </xf>
    <xf numFmtId="0" fontId="10" fillId="0" borderId="157" xfId="0" applyFont="1" applyFill="1" applyBorder="1" applyAlignment="1">
      <alignment horizontal="center" vertical="center" wrapText="1"/>
    </xf>
    <xf numFmtId="0" fontId="13" fillId="0" borderId="116" xfId="0" applyFont="1" applyFill="1" applyBorder="1" applyAlignment="1">
      <alignment horizontal="center" vertical="center" wrapText="1"/>
    </xf>
    <xf numFmtId="0" fontId="13" fillId="0" borderId="142" xfId="0" applyFont="1" applyFill="1" applyBorder="1" applyAlignment="1">
      <alignment horizontal="center" vertical="center" wrapText="1"/>
    </xf>
    <xf numFmtId="0" fontId="13" fillId="0" borderId="193" xfId="0" applyFont="1" applyFill="1" applyBorder="1" applyAlignment="1">
      <alignment horizontal="center" vertical="center" wrapText="1"/>
    </xf>
    <xf numFmtId="180" fontId="13" fillId="0" borderId="18" xfId="2" applyNumberFormat="1" applyFont="1" applyFill="1" applyBorder="1" applyAlignment="1">
      <alignment horizontal="center" vertical="center"/>
    </xf>
    <xf numFmtId="177" fontId="13" fillId="0" borderId="18" xfId="2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0" fillId="0" borderId="234" xfId="0" applyFont="1" applyFill="1" applyBorder="1" applyAlignment="1">
      <alignment horizontal="center" vertical="center"/>
    </xf>
    <xf numFmtId="0" fontId="10" fillId="0" borderId="235" xfId="0" applyFont="1" applyFill="1" applyBorder="1" applyAlignment="1">
      <alignment horizontal="center" vertical="center"/>
    </xf>
    <xf numFmtId="0" fontId="10" fillId="0" borderId="212" xfId="0" applyFont="1" applyFill="1" applyBorder="1" applyAlignment="1">
      <alignment horizontal="center" vertical="center" wrapText="1"/>
    </xf>
    <xf numFmtId="0" fontId="10" fillId="0" borderId="211" xfId="0" applyFont="1" applyFill="1" applyBorder="1" applyAlignment="1">
      <alignment horizontal="center" vertical="center" wrapText="1"/>
    </xf>
    <xf numFmtId="0" fontId="10" fillId="0" borderId="236" xfId="0" applyFont="1" applyFill="1" applyBorder="1" applyAlignment="1">
      <alignment horizontal="center" vertical="center"/>
    </xf>
    <xf numFmtId="0" fontId="10" fillId="0" borderId="267" xfId="0" applyFont="1" applyFill="1" applyBorder="1" applyAlignment="1">
      <alignment horizontal="center" vertical="center"/>
    </xf>
    <xf numFmtId="0" fontId="10" fillId="0" borderId="178" xfId="0" applyFont="1" applyFill="1" applyBorder="1" applyAlignment="1">
      <alignment horizontal="center" vertical="center" wrapText="1"/>
    </xf>
    <xf numFmtId="0" fontId="10" fillId="0" borderId="128" xfId="0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0" fontId="10" fillId="0" borderId="178" xfId="0" applyFont="1" applyFill="1" applyBorder="1" applyAlignment="1">
      <alignment horizontal="center" vertical="center"/>
    </xf>
    <xf numFmtId="0" fontId="10" fillId="0" borderId="21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12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112" xfId="0" applyFont="1" applyBorder="1">
      <alignment vertical="center"/>
    </xf>
    <xf numFmtId="0" fontId="27" fillId="4" borderId="89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27" fillId="4" borderId="89" xfId="0" applyFont="1" applyFill="1" applyBorder="1" applyAlignment="1">
      <alignment horizontal="center" vertical="center"/>
    </xf>
    <xf numFmtId="0" fontId="27" fillId="4" borderId="5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43" fontId="30" fillId="6" borderId="89" xfId="0" applyNumberFormat="1" applyFont="1" applyFill="1" applyBorder="1" applyAlignment="1">
      <alignment horizontal="center" vertical="center"/>
    </xf>
    <xf numFmtId="43" fontId="30" fillId="6" borderId="30" xfId="0" applyNumberFormat="1" applyFont="1" applyFill="1" applyBorder="1" applyAlignment="1">
      <alignment horizontal="center" vertical="center"/>
    </xf>
    <xf numFmtId="0" fontId="27" fillId="4" borderId="59" xfId="0" applyFont="1" applyFill="1" applyBorder="1" applyAlignment="1">
      <alignment horizontal="center" vertical="center" wrapText="1"/>
    </xf>
    <xf numFmtId="43" fontId="30" fillId="6" borderId="89" xfId="2" applyNumberFormat="1" applyFont="1" applyFill="1" applyBorder="1" applyAlignment="1">
      <alignment horizontal="center" vertical="center"/>
    </xf>
    <xf numFmtId="43" fontId="30" fillId="6" borderId="30" xfId="2" applyNumberFormat="1" applyFont="1" applyFill="1" applyBorder="1" applyAlignment="1">
      <alignment horizontal="center" vertical="center"/>
    </xf>
    <xf numFmtId="43" fontId="30" fillId="6" borderId="59" xfId="0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/>
    </xf>
    <xf numFmtId="0" fontId="12" fillId="0" borderId="0" xfId="7" applyNumberFormat="1" applyFont="1" applyBorder="1" applyAlignment="1">
      <alignment horizontal="left" vertical="center" wrapText="1"/>
    </xf>
    <xf numFmtId="0" fontId="12" fillId="0" borderId="100" xfId="7" applyFont="1" applyBorder="1" applyAlignment="1">
      <alignment horizontal="center" vertical="center" wrapText="1"/>
    </xf>
    <xf numFmtId="0" fontId="12" fillId="0" borderId="151" xfId="7" applyFont="1" applyBorder="1" applyAlignment="1">
      <alignment horizontal="center" vertical="center" wrapText="1"/>
    </xf>
    <xf numFmtId="0" fontId="11" fillId="0" borderId="217" xfId="7" applyFont="1" applyFill="1" applyBorder="1" applyAlignment="1">
      <alignment horizontal="center" vertical="center" wrapText="1"/>
    </xf>
    <xf numFmtId="0" fontId="11" fillId="0" borderId="218" xfId="7" applyFont="1" applyFill="1" applyBorder="1" applyAlignment="1">
      <alignment horizontal="center" vertical="center" wrapText="1"/>
    </xf>
    <xf numFmtId="0" fontId="11" fillId="0" borderId="219" xfId="7" applyFont="1" applyFill="1" applyBorder="1" applyAlignment="1">
      <alignment horizontal="center" vertical="center" wrapText="1"/>
    </xf>
    <xf numFmtId="0" fontId="12" fillId="0" borderId="80" xfId="7" applyFont="1" applyFill="1" applyBorder="1" applyAlignment="1">
      <alignment horizontal="center" vertical="center" wrapText="1"/>
    </xf>
    <xf numFmtId="0" fontId="12" fillId="0" borderId="31" xfId="7" applyFont="1" applyFill="1" applyBorder="1" applyAlignment="1">
      <alignment horizontal="center" vertical="center" wrapText="1"/>
    </xf>
    <xf numFmtId="0" fontId="12" fillId="0" borderId="60" xfId="7" applyFont="1" applyFill="1" applyBorder="1" applyAlignment="1">
      <alignment horizontal="center" vertical="center" wrapText="1"/>
    </xf>
    <xf numFmtId="0" fontId="12" fillId="0" borderId="18" xfId="7" applyFont="1" applyFill="1" applyBorder="1" applyAlignment="1">
      <alignment horizontal="center" vertical="center" wrapText="1"/>
    </xf>
    <xf numFmtId="49" fontId="12" fillId="0" borderId="108" xfId="7" applyNumberFormat="1" applyFont="1" applyFill="1" applyBorder="1" applyAlignment="1">
      <alignment horizontal="center" vertical="center" wrapText="1"/>
    </xf>
    <xf numFmtId="49" fontId="12" fillId="0" borderId="68" xfId="7" applyNumberFormat="1" applyFont="1" applyFill="1" applyBorder="1" applyAlignment="1">
      <alignment horizontal="center" vertical="center" wrapText="1"/>
    </xf>
    <xf numFmtId="49" fontId="12" fillId="0" borderId="109" xfId="7" applyNumberFormat="1" applyFont="1" applyFill="1" applyBorder="1" applyAlignment="1">
      <alignment horizontal="center" vertical="center" wrapText="1"/>
    </xf>
    <xf numFmtId="49" fontId="12" fillId="0" borderId="81" xfId="7" applyNumberFormat="1" applyFont="1" applyFill="1" applyBorder="1" applyAlignment="1">
      <alignment horizontal="center" vertical="center" wrapText="1"/>
    </xf>
    <xf numFmtId="49" fontId="12" fillId="0" borderId="30" xfId="7" applyNumberFormat="1" applyFont="1" applyFill="1" applyBorder="1" applyAlignment="1">
      <alignment horizontal="center" vertical="center" wrapText="1"/>
    </xf>
    <xf numFmtId="177" fontId="12" fillId="0" borderId="81" xfId="7" applyNumberFormat="1" applyFont="1" applyBorder="1" applyAlignment="1">
      <alignment horizontal="center" vertical="center" wrapText="1"/>
    </xf>
    <xf numFmtId="177" fontId="12" fillId="0" borderId="30" xfId="7" applyNumberFormat="1" applyFont="1" applyBorder="1" applyAlignment="1">
      <alignment horizontal="center" vertical="center" wrapText="1"/>
    </xf>
    <xf numFmtId="0" fontId="11" fillId="0" borderId="154" xfId="7" applyFont="1" applyFill="1" applyBorder="1" applyAlignment="1">
      <alignment horizontal="center" vertical="center" wrapText="1"/>
    </xf>
    <xf numFmtId="0" fontId="11" fillId="0" borderId="110" xfId="7" applyFont="1" applyFill="1" applyBorder="1" applyAlignment="1">
      <alignment horizontal="center" vertical="center" wrapText="1"/>
    </xf>
    <xf numFmtId="0" fontId="12" fillId="0" borderId="81" xfId="7" applyFont="1" applyFill="1" applyBorder="1" applyAlignment="1">
      <alignment horizontal="center" vertical="center" wrapText="1"/>
    </xf>
    <xf numFmtId="0" fontId="12" fillId="0" borderId="30" xfId="7" applyFont="1" applyFill="1" applyBorder="1" applyAlignment="1">
      <alignment horizontal="center" vertical="center" wrapText="1"/>
    </xf>
    <xf numFmtId="41" fontId="12" fillId="0" borderId="81" xfId="2" applyFont="1" applyFill="1" applyBorder="1" applyAlignment="1">
      <alignment horizontal="center" vertical="center" wrapText="1"/>
    </xf>
    <xf numFmtId="41" fontId="12" fillId="0" borderId="30" xfId="2" applyFont="1" applyFill="1" applyBorder="1" applyAlignment="1">
      <alignment horizontal="center" vertical="center" wrapText="1"/>
    </xf>
    <xf numFmtId="177" fontId="12" fillId="0" borderId="60" xfId="7" applyNumberFormat="1" applyFont="1" applyBorder="1" applyAlignment="1">
      <alignment horizontal="center" vertical="center" wrapText="1"/>
    </xf>
    <xf numFmtId="177" fontId="12" fillId="0" borderId="18" xfId="7" applyNumberFormat="1" applyFont="1" applyBorder="1" applyAlignment="1">
      <alignment horizontal="center" vertical="center" wrapText="1"/>
    </xf>
    <xf numFmtId="0" fontId="12" fillId="0" borderId="97" xfId="7" applyFont="1" applyBorder="1" applyAlignment="1">
      <alignment horizontal="center" vertical="center" wrapText="1"/>
    </xf>
    <xf numFmtId="0" fontId="12" fillId="0" borderId="33" xfId="7" applyFont="1" applyBorder="1" applyAlignment="1">
      <alignment horizontal="center" vertical="center" wrapText="1"/>
    </xf>
    <xf numFmtId="0" fontId="11" fillId="0" borderId="31" xfId="7" applyFont="1" applyFill="1" applyBorder="1" applyAlignment="1">
      <alignment horizontal="center" vertical="center" wrapText="1"/>
    </xf>
    <xf numFmtId="0" fontId="11" fillId="0" borderId="18" xfId="7" applyFont="1" applyFill="1" applyBorder="1" applyAlignment="1">
      <alignment horizontal="center" vertical="center" wrapText="1"/>
    </xf>
    <xf numFmtId="0" fontId="11" fillId="0" borderId="98" xfId="7" applyFont="1" applyFill="1" applyBorder="1" applyAlignment="1">
      <alignment horizontal="center" vertical="center" wrapText="1"/>
    </xf>
    <xf numFmtId="0" fontId="11" fillId="0" borderId="61" xfId="7" applyFont="1" applyFill="1" applyBorder="1" applyAlignment="1">
      <alignment horizontal="center" vertical="center" wrapText="1"/>
    </xf>
    <xf numFmtId="49" fontId="12" fillId="0" borderId="60" xfId="7" applyNumberFormat="1" applyFont="1" applyFill="1" applyBorder="1" applyAlignment="1">
      <alignment horizontal="center" vertical="center" wrapText="1"/>
    </xf>
    <xf numFmtId="49" fontId="12" fillId="0" borderId="18" xfId="7" applyNumberFormat="1" applyFont="1" applyFill="1" applyBorder="1" applyAlignment="1">
      <alignment horizontal="center" vertical="center" wrapText="1"/>
    </xf>
    <xf numFmtId="41" fontId="12" fillId="0" borderId="60" xfId="2" applyFont="1" applyFill="1" applyBorder="1" applyAlignment="1">
      <alignment horizontal="center" vertical="center" wrapText="1"/>
    </xf>
    <xf numFmtId="41" fontId="12" fillId="0" borderId="18" xfId="2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31" xfId="0" applyFont="1" applyFill="1" applyBorder="1" applyAlignment="1">
      <alignment horizontal="left" vertical="center" wrapText="1"/>
    </xf>
    <xf numFmtId="0" fontId="41" fillId="0" borderId="18" xfId="0" applyFont="1" applyFill="1" applyBorder="1" applyAlignment="1">
      <alignment horizontal="left" vertical="center" wrapText="1"/>
    </xf>
    <xf numFmtId="0" fontId="41" fillId="0" borderId="33" xfId="0" applyFont="1" applyFill="1" applyBorder="1" applyAlignment="1">
      <alignment horizontal="left" vertical="center" wrapText="1"/>
    </xf>
    <xf numFmtId="0" fontId="42" fillId="2" borderId="18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2" fillId="0" borderId="110" xfId="0" applyFont="1" applyFill="1" applyBorder="1" applyAlignment="1">
      <alignment horizontal="center" vertical="center" wrapText="1"/>
    </xf>
    <xf numFmtId="0" fontId="42" fillId="0" borderId="112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/>
    </xf>
    <xf numFmtId="180" fontId="27" fillId="4" borderId="108" xfId="2" applyNumberFormat="1" applyFont="1" applyFill="1" applyBorder="1" applyAlignment="1">
      <alignment horizontal="center" vertical="center"/>
    </xf>
    <xf numFmtId="180" fontId="27" fillId="4" borderId="109" xfId="2" applyNumberFormat="1" applyFont="1" applyFill="1" applyBorder="1" applyAlignment="1">
      <alignment horizontal="center" vertical="center"/>
    </xf>
    <xf numFmtId="191" fontId="27" fillId="0" borderId="116" xfId="2" applyNumberFormat="1" applyFont="1" applyFill="1" applyBorder="1" applyAlignment="1">
      <alignment horizontal="center" vertical="center"/>
    </xf>
    <xf numFmtId="191" fontId="27" fillId="0" borderId="215" xfId="2" applyNumberFormat="1" applyFont="1" applyFill="1" applyBorder="1" applyAlignment="1">
      <alignment horizontal="center" vertical="center"/>
    </xf>
    <xf numFmtId="191" fontId="27" fillId="0" borderId="142" xfId="2" applyNumberFormat="1" applyFont="1" applyFill="1" applyBorder="1" applyAlignment="1">
      <alignment horizontal="center" vertical="center"/>
    </xf>
    <xf numFmtId="191" fontId="27" fillId="0" borderId="58" xfId="2" applyNumberFormat="1" applyFont="1" applyFill="1" applyBorder="1" applyAlignment="1">
      <alignment horizontal="center" vertical="center"/>
    </xf>
    <xf numFmtId="0" fontId="27" fillId="0" borderId="171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177" fontId="30" fillId="6" borderId="133" xfId="0" applyNumberFormat="1" applyFont="1" applyFill="1" applyBorder="1" applyAlignment="1">
      <alignment horizontal="center" vertical="center"/>
    </xf>
    <xf numFmtId="177" fontId="30" fillId="6" borderId="96" xfId="0" applyNumberFormat="1" applyFont="1" applyFill="1" applyBorder="1" applyAlignment="1">
      <alignment horizontal="center" vertical="center"/>
    </xf>
    <xf numFmtId="177" fontId="30" fillId="6" borderId="164" xfId="0" applyNumberFormat="1" applyFont="1" applyFill="1" applyBorder="1" applyAlignment="1">
      <alignment horizontal="center" vertical="center"/>
    </xf>
    <xf numFmtId="180" fontId="27" fillId="0" borderId="89" xfId="2" applyNumberFormat="1" applyFont="1" applyFill="1" applyBorder="1" applyAlignment="1">
      <alignment horizontal="center" vertical="center"/>
    </xf>
    <xf numFmtId="180" fontId="27" fillId="0" borderId="59" xfId="2" applyNumberFormat="1" applyFont="1" applyFill="1" applyBorder="1" applyAlignment="1">
      <alignment horizontal="center" vertical="center"/>
    </xf>
    <xf numFmtId="180" fontId="27" fillId="0" borderId="30" xfId="2" applyNumberFormat="1" applyFont="1" applyFill="1" applyBorder="1" applyAlignment="1">
      <alignment horizontal="center" vertical="center"/>
    </xf>
    <xf numFmtId="10" fontId="27" fillId="0" borderId="89" xfId="1" applyNumberFormat="1" applyFont="1" applyFill="1" applyBorder="1" applyAlignment="1">
      <alignment horizontal="center" vertical="center"/>
    </xf>
    <xf numFmtId="10" fontId="27" fillId="0" borderId="59" xfId="1" applyNumberFormat="1" applyFont="1" applyFill="1" applyBorder="1" applyAlignment="1">
      <alignment horizontal="center" vertical="center"/>
    </xf>
    <xf numFmtId="10" fontId="27" fillId="0" borderId="220" xfId="1" applyNumberFormat="1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 wrapText="1"/>
    </xf>
    <xf numFmtId="0" fontId="27" fillId="0" borderId="144" xfId="0" applyFont="1" applyFill="1" applyBorder="1" applyAlignment="1">
      <alignment horizontal="center" vertical="center" wrapText="1"/>
    </xf>
    <xf numFmtId="0" fontId="11" fillId="0" borderId="33" xfId="7" applyFont="1" applyBorder="1" applyAlignment="1">
      <alignment horizontal="center" vertical="center" wrapText="1"/>
    </xf>
    <xf numFmtId="0" fontId="12" fillId="0" borderId="108" xfId="7" applyFont="1" applyFill="1" applyBorder="1" applyAlignment="1">
      <alignment horizontal="center" vertical="center" wrapText="1"/>
    </xf>
    <xf numFmtId="0" fontId="12" fillId="0" borderId="109" xfId="7" applyFont="1" applyFill="1" applyBorder="1" applyAlignment="1">
      <alignment horizontal="center" vertical="center" wrapText="1"/>
    </xf>
    <xf numFmtId="0" fontId="12" fillId="0" borderId="60" xfId="7" applyFont="1" applyBorder="1" applyAlignment="1">
      <alignment horizontal="center" vertical="center" wrapText="1"/>
    </xf>
    <xf numFmtId="0" fontId="12" fillId="0" borderId="18" xfId="7" applyFont="1" applyBorder="1" applyAlignment="1">
      <alignment horizontal="center" vertical="center" wrapText="1"/>
    </xf>
    <xf numFmtId="0" fontId="11" fillId="0" borderId="0" xfId="7" applyNumberFormat="1" applyFont="1" applyBorder="1" applyAlignment="1">
      <alignment horizontal="left" vertical="center" wrapText="1"/>
    </xf>
    <xf numFmtId="0" fontId="3" fillId="0" borderId="19" xfId="2" applyNumberFormat="1" applyFont="1" applyFill="1" applyBorder="1" applyAlignment="1">
      <alignment horizontal="left" vertical="center" wrapText="1"/>
    </xf>
    <xf numFmtId="0" fontId="11" fillId="0" borderId="201" xfId="7" applyFont="1" applyFill="1" applyBorder="1" applyAlignment="1">
      <alignment horizontal="center" vertical="center" wrapText="1"/>
    </xf>
    <xf numFmtId="0" fontId="11" fillId="0" borderId="202" xfId="7" applyFont="1" applyFill="1" applyBorder="1" applyAlignment="1">
      <alignment horizontal="center" vertical="center" wrapText="1"/>
    </xf>
    <xf numFmtId="0" fontId="11" fillId="0" borderId="221" xfId="7" applyFont="1" applyFill="1" applyBorder="1" applyAlignment="1">
      <alignment horizontal="center" vertical="center" wrapText="1"/>
    </xf>
    <xf numFmtId="0" fontId="12" fillId="0" borderId="81" xfId="7" applyFont="1" applyBorder="1" applyAlignment="1">
      <alignment horizontal="center" vertical="center" wrapText="1"/>
    </xf>
    <xf numFmtId="0" fontId="12" fillId="0" borderId="30" xfId="7" applyFont="1" applyBorder="1" applyAlignment="1">
      <alignment horizontal="center" vertical="center" wrapText="1"/>
    </xf>
    <xf numFmtId="0" fontId="42" fillId="2" borderId="28" xfId="0" applyFont="1" applyFill="1" applyBorder="1" applyAlignment="1">
      <alignment horizontal="center" vertical="center" wrapText="1"/>
    </xf>
    <xf numFmtId="0" fontId="42" fillId="2" borderId="110" xfId="0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30" fillId="11" borderId="201" xfId="0" applyFont="1" applyFill="1" applyBorder="1" applyAlignment="1">
      <alignment horizontal="center" vertical="center" shrinkToFit="1"/>
    </xf>
    <xf numFmtId="0" fontId="30" fillId="11" borderId="202" xfId="0" applyFont="1" applyFill="1" applyBorder="1" applyAlignment="1">
      <alignment horizontal="center" vertical="center" shrinkToFit="1"/>
    </xf>
    <xf numFmtId="0" fontId="30" fillId="11" borderId="203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198" fontId="30" fillId="0" borderId="89" xfId="2" applyNumberFormat="1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shrinkToFit="1"/>
    </xf>
    <xf numFmtId="198" fontId="30" fillId="0" borderId="18" xfId="2" applyNumberFormat="1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19" xfId="0" applyFont="1" applyFill="1" applyBorder="1" applyAlignment="1">
      <alignment horizontal="center" vertical="center"/>
    </xf>
    <xf numFmtId="0" fontId="30" fillId="4" borderId="111" xfId="0" applyFont="1" applyFill="1" applyBorder="1" applyAlignment="1">
      <alignment horizontal="center" vertical="center"/>
    </xf>
    <xf numFmtId="177" fontId="30" fillId="6" borderId="89" xfId="0" applyNumberFormat="1" applyFont="1" applyFill="1" applyBorder="1" applyAlignment="1">
      <alignment horizontal="center" vertical="center"/>
    </xf>
    <xf numFmtId="177" fontId="30" fillId="6" borderId="59" xfId="0" applyNumberFormat="1" applyFont="1" applyFill="1" applyBorder="1" applyAlignment="1">
      <alignment horizontal="center" vertical="center"/>
    </xf>
    <xf numFmtId="177" fontId="30" fillId="6" borderId="30" xfId="0" applyNumberFormat="1" applyFont="1" applyFill="1" applyBorder="1" applyAlignment="1">
      <alignment horizontal="center" vertical="center"/>
    </xf>
    <xf numFmtId="0" fontId="27" fillId="4" borderId="178" xfId="0" applyFont="1" applyFill="1" applyBorder="1" applyAlignment="1">
      <alignment horizontal="center" vertical="center"/>
    </xf>
    <xf numFmtId="0" fontId="27" fillId="4" borderId="83" xfId="0" applyFont="1" applyFill="1" applyBorder="1" applyAlignment="1">
      <alignment horizontal="center" vertical="center"/>
    </xf>
    <xf numFmtId="0" fontId="27" fillId="4" borderId="179" xfId="0" applyFont="1" applyFill="1" applyBorder="1" applyAlignment="1">
      <alignment horizontal="center" vertical="center"/>
    </xf>
    <xf numFmtId="0" fontId="27" fillId="4" borderId="121" xfId="0" applyFont="1" applyFill="1" applyBorder="1" applyAlignment="1">
      <alignment horizontal="center" vertical="center"/>
    </xf>
    <xf numFmtId="179" fontId="27" fillId="0" borderId="222" xfId="0" applyNumberFormat="1" applyFont="1" applyFill="1" applyBorder="1" applyAlignment="1">
      <alignment horizontal="center" vertical="center"/>
    </xf>
    <xf numFmtId="179" fontId="27" fillId="0" borderId="223" xfId="0" applyNumberFormat="1" applyFont="1" applyFill="1" applyBorder="1" applyAlignment="1">
      <alignment horizontal="center" vertical="center"/>
    </xf>
    <xf numFmtId="179" fontId="27" fillId="0" borderId="224" xfId="0" applyNumberFormat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119" xfId="0" applyFont="1" applyFill="1" applyBorder="1" applyAlignment="1">
      <alignment horizontal="center" vertical="center"/>
    </xf>
    <xf numFmtId="0" fontId="27" fillId="4" borderId="111" xfId="0" applyFont="1" applyFill="1" applyBorder="1" applyAlignment="1">
      <alignment horizontal="center" vertical="center"/>
    </xf>
    <xf numFmtId="177" fontId="30" fillId="6" borderId="35" xfId="0" applyNumberFormat="1" applyFont="1" applyFill="1" applyBorder="1" applyAlignment="1">
      <alignment horizontal="center" vertical="center"/>
    </xf>
    <xf numFmtId="177" fontId="30" fillId="6" borderId="37" xfId="0" applyNumberFormat="1" applyFont="1" applyFill="1" applyBorder="1" applyAlignment="1">
      <alignment horizontal="center" vertical="center"/>
    </xf>
    <xf numFmtId="180" fontId="27" fillId="4" borderId="178" xfId="2" applyNumberFormat="1" applyFont="1" applyFill="1" applyBorder="1" applyAlignment="1">
      <alignment horizontal="center" vertical="center"/>
    </xf>
    <xf numFmtId="180" fontId="27" fillId="4" borderId="121" xfId="2" applyNumberFormat="1" applyFont="1" applyFill="1" applyBorder="1" applyAlignment="1">
      <alignment horizontal="center" vertical="center"/>
    </xf>
    <xf numFmtId="180" fontId="27" fillId="4" borderId="128" xfId="2" applyNumberFormat="1" applyFont="1" applyFill="1" applyBorder="1" applyAlignment="1">
      <alignment horizontal="center" vertical="center"/>
    </xf>
    <xf numFmtId="177" fontId="30" fillId="6" borderId="53" xfId="0" applyNumberFormat="1" applyFont="1" applyFill="1" applyBorder="1" applyAlignment="1">
      <alignment horizontal="center" vertical="center"/>
    </xf>
    <xf numFmtId="177" fontId="30" fillId="6" borderId="79" xfId="0" applyNumberFormat="1" applyFont="1" applyFill="1" applyBorder="1" applyAlignment="1">
      <alignment horizontal="center" vertical="center"/>
    </xf>
    <xf numFmtId="177" fontId="30" fillId="6" borderId="18" xfId="0" applyNumberFormat="1" applyFont="1" applyFill="1" applyBorder="1" applyAlignment="1">
      <alignment horizontal="center" vertical="center"/>
    </xf>
    <xf numFmtId="10" fontId="27" fillId="0" borderId="18" xfId="0" applyNumberFormat="1" applyFont="1" applyBorder="1" applyAlignment="1">
      <alignment horizontal="center" vertical="center"/>
    </xf>
    <xf numFmtId="0" fontId="27" fillId="4" borderId="125" xfId="0" applyFont="1" applyFill="1" applyBorder="1" applyAlignment="1">
      <alignment horizontal="center" vertical="center"/>
    </xf>
    <xf numFmtId="0" fontId="27" fillId="4" borderId="157" xfId="0" applyFont="1" applyFill="1" applyBorder="1" applyAlignment="1">
      <alignment horizontal="center" vertical="center"/>
    </xf>
    <xf numFmtId="9" fontId="27" fillId="0" borderId="18" xfId="0" applyNumberFormat="1" applyFont="1" applyFill="1" applyBorder="1" applyAlignment="1">
      <alignment horizontal="center" vertical="center"/>
    </xf>
    <xf numFmtId="10" fontId="27" fillId="0" borderId="18" xfId="1" applyNumberFormat="1" applyFont="1" applyBorder="1" applyAlignment="1">
      <alignment horizontal="center" vertical="center"/>
    </xf>
    <xf numFmtId="177" fontId="27" fillId="0" borderId="181" xfId="0" applyNumberFormat="1" applyFont="1" applyBorder="1" applyAlignment="1">
      <alignment horizontal="center" vertical="center"/>
    </xf>
    <xf numFmtId="177" fontId="27" fillId="0" borderId="173" xfId="0" applyNumberFormat="1" applyFont="1" applyBorder="1" applyAlignment="1">
      <alignment horizontal="center" vertical="center"/>
    </xf>
    <xf numFmtId="177" fontId="27" fillId="0" borderId="183" xfId="0" applyNumberFormat="1" applyFont="1" applyBorder="1" applyAlignment="1">
      <alignment horizontal="center" vertical="center"/>
    </xf>
    <xf numFmtId="0" fontId="27" fillId="4" borderId="129" xfId="0" applyFont="1" applyFill="1" applyBorder="1" applyAlignment="1">
      <alignment horizontal="center" vertical="center"/>
    </xf>
    <xf numFmtId="0" fontId="27" fillId="4" borderId="130" xfId="0" applyFont="1" applyFill="1" applyBorder="1" applyAlignment="1">
      <alignment horizontal="center" vertical="center"/>
    </xf>
    <xf numFmtId="0" fontId="27" fillId="4" borderId="120" xfId="0" applyFont="1" applyFill="1" applyBorder="1" applyAlignment="1">
      <alignment horizontal="center" vertical="center"/>
    </xf>
    <xf numFmtId="0" fontId="27" fillId="4" borderId="215" xfId="0" applyFont="1" applyFill="1" applyBorder="1" applyAlignment="1">
      <alignment horizontal="center" vertical="center"/>
    </xf>
    <xf numFmtId="0" fontId="27" fillId="4" borderId="216" xfId="0" applyFont="1" applyFill="1" applyBorder="1" applyAlignment="1">
      <alignment horizontal="center" vertical="center"/>
    </xf>
    <xf numFmtId="177" fontId="27" fillId="0" borderId="181" xfId="0" applyNumberFormat="1" applyFont="1" applyFill="1" applyBorder="1" applyAlignment="1">
      <alignment horizontal="center" vertical="center"/>
    </xf>
    <xf numFmtId="177" fontId="27" fillId="0" borderId="173" xfId="0" applyNumberFormat="1" applyFont="1" applyFill="1" applyBorder="1" applyAlignment="1">
      <alignment horizontal="center" vertical="center"/>
    </xf>
    <xf numFmtId="177" fontId="27" fillId="0" borderId="183" xfId="0" applyNumberFormat="1" applyFont="1" applyFill="1" applyBorder="1" applyAlignment="1">
      <alignment horizontal="center" vertical="center"/>
    </xf>
    <xf numFmtId="177" fontId="27" fillId="0" borderId="225" xfId="0" applyNumberFormat="1" applyFont="1" applyFill="1" applyBorder="1" applyAlignment="1">
      <alignment horizontal="center" vertical="center"/>
    </xf>
    <xf numFmtId="177" fontId="27" fillId="0" borderId="226" xfId="0" applyNumberFormat="1" applyFont="1" applyFill="1" applyBorder="1" applyAlignment="1">
      <alignment horizontal="center" vertical="center"/>
    </xf>
    <xf numFmtId="177" fontId="27" fillId="0" borderId="227" xfId="0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shrinkToFit="1"/>
    </xf>
    <xf numFmtId="0" fontId="27" fillId="4" borderId="128" xfId="0" applyFont="1" applyFill="1" applyBorder="1" applyAlignment="1">
      <alignment horizontal="center" vertical="center"/>
    </xf>
    <xf numFmtId="0" fontId="27" fillId="4" borderId="120" xfId="0" applyFont="1" applyFill="1" applyBorder="1" applyAlignment="1">
      <alignment horizontal="center" vertical="center" wrapText="1"/>
    </xf>
    <xf numFmtId="0" fontId="27" fillId="4" borderId="128" xfId="0" applyFont="1" applyFill="1" applyBorder="1" applyAlignment="1">
      <alignment horizontal="center" vertical="center" wrapText="1"/>
    </xf>
    <xf numFmtId="9" fontId="27" fillId="0" borderId="89" xfId="0" applyNumberFormat="1" applyFont="1" applyFill="1" applyBorder="1" applyAlignment="1">
      <alignment horizontal="center" vertical="center"/>
    </xf>
    <xf numFmtId="9" fontId="27" fillId="0" borderId="59" xfId="0" applyNumberFormat="1" applyFont="1" applyFill="1" applyBorder="1" applyAlignment="1">
      <alignment horizontal="center" vertical="center"/>
    </xf>
    <xf numFmtId="9" fontId="27" fillId="0" borderId="30" xfId="0" applyNumberFormat="1" applyFont="1" applyFill="1" applyBorder="1" applyAlignment="1">
      <alignment horizontal="center" vertical="center"/>
    </xf>
    <xf numFmtId="0" fontId="27" fillId="4" borderId="271" xfId="0" applyFont="1" applyFill="1" applyBorder="1" applyAlignment="1">
      <alignment horizontal="center" vertical="center"/>
    </xf>
    <xf numFmtId="0" fontId="27" fillId="4" borderId="273" xfId="0" applyFont="1" applyFill="1" applyBorder="1" applyAlignment="1">
      <alignment horizontal="center" vertical="center"/>
    </xf>
    <xf numFmtId="0" fontId="27" fillId="4" borderId="185" xfId="0" applyFont="1" applyFill="1" applyBorder="1" applyAlignment="1">
      <alignment horizontal="center" vertical="center"/>
    </xf>
    <xf numFmtId="0" fontId="27" fillId="4" borderId="189" xfId="0" applyFont="1" applyFill="1" applyBorder="1" applyAlignment="1">
      <alignment horizontal="center" vertical="center"/>
    </xf>
    <xf numFmtId="177" fontId="30" fillId="6" borderId="58" xfId="0" applyNumberFormat="1" applyFont="1" applyFill="1" applyBorder="1" applyAlignment="1">
      <alignment horizontal="center" vertical="center"/>
    </xf>
    <xf numFmtId="177" fontId="30" fillId="6" borderId="216" xfId="0" applyNumberFormat="1" applyFont="1" applyFill="1" applyBorder="1" applyAlignment="1">
      <alignment horizontal="center" vertical="center"/>
    </xf>
    <xf numFmtId="177" fontId="27" fillId="0" borderId="249" xfId="0" applyNumberFormat="1" applyFont="1" applyBorder="1" applyAlignment="1">
      <alignment horizontal="center" vertical="center"/>
    </xf>
    <xf numFmtId="177" fontId="27" fillId="0" borderId="272" xfId="0" applyNumberFormat="1" applyFont="1" applyBorder="1" applyAlignment="1">
      <alignment horizontal="center" vertical="center"/>
    </xf>
    <xf numFmtId="177" fontId="27" fillId="0" borderId="273" xfId="0" applyNumberFormat="1" applyFont="1" applyBorder="1" applyAlignment="1">
      <alignment horizontal="center" vertical="center"/>
    </xf>
    <xf numFmtId="177" fontId="27" fillId="0" borderId="249" xfId="0" applyNumberFormat="1" applyFont="1" applyFill="1" applyBorder="1" applyAlignment="1">
      <alignment horizontal="center" vertical="center"/>
    </xf>
    <xf numFmtId="177" fontId="27" fillId="0" borderId="272" xfId="0" applyNumberFormat="1" applyFont="1" applyFill="1" applyBorder="1" applyAlignment="1">
      <alignment horizontal="center" vertical="center"/>
    </xf>
    <xf numFmtId="177" fontId="27" fillId="0" borderId="273" xfId="0" applyNumberFormat="1" applyFont="1" applyFill="1" applyBorder="1" applyAlignment="1">
      <alignment horizontal="center" vertical="center"/>
    </xf>
    <xf numFmtId="0" fontId="27" fillId="4" borderId="184" xfId="0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/>
    </xf>
    <xf numFmtId="0" fontId="27" fillId="4" borderId="188" xfId="0" applyFont="1" applyFill="1" applyBorder="1" applyAlignment="1">
      <alignment horizontal="center" vertical="center"/>
    </xf>
    <xf numFmtId="10" fontId="27" fillId="4" borderId="89" xfId="1" applyNumberFormat="1" applyFont="1" applyFill="1" applyBorder="1" applyAlignment="1">
      <alignment horizontal="center" vertical="center"/>
    </xf>
    <xf numFmtId="10" fontId="27" fillId="4" borderId="30" xfId="1" applyNumberFormat="1" applyFont="1" applyFill="1" applyBorder="1" applyAlignment="1">
      <alignment horizontal="center" vertical="center"/>
    </xf>
    <xf numFmtId="0" fontId="11" fillId="0" borderId="154" xfId="7" applyFont="1" applyFill="1" applyBorder="1" applyAlignment="1">
      <alignment horizontal="center" vertical="center"/>
    </xf>
    <xf numFmtId="0" fontId="11" fillId="0" borderId="110" xfId="7" applyFont="1" applyFill="1" applyBorder="1" applyAlignment="1">
      <alignment horizontal="center" vertical="center"/>
    </xf>
    <xf numFmtId="0" fontId="11" fillId="0" borderId="112" xfId="7" applyFont="1" applyFill="1" applyBorder="1" applyAlignment="1">
      <alignment horizontal="center" vertical="center"/>
    </xf>
    <xf numFmtId="0" fontId="11" fillId="0" borderId="217" xfId="7" applyFont="1" applyFill="1" applyBorder="1" applyAlignment="1">
      <alignment horizontal="center" vertical="center"/>
    </xf>
    <xf numFmtId="0" fontId="11" fillId="0" borderId="218" xfId="7" applyFont="1" applyFill="1" applyBorder="1" applyAlignment="1">
      <alignment horizontal="center" vertical="center"/>
    </xf>
    <xf numFmtId="0" fontId="11" fillId="0" borderId="219" xfId="7" applyFont="1" applyFill="1" applyBorder="1" applyAlignment="1">
      <alignment horizontal="center" vertical="center"/>
    </xf>
    <xf numFmtId="0" fontId="11" fillId="0" borderId="98" xfId="7" applyFont="1" applyFill="1" applyBorder="1" applyAlignment="1">
      <alignment horizontal="center" vertical="center"/>
    </xf>
    <xf numFmtId="0" fontId="11" fillId="0" borderId="61" xfId="7" applyFont="1" applyFill="1" applyBorder="1" applyAlignment="1">
      <alignment horizontal="center" vertical="center"/>
    </xf>
    <xf numFmtId="0" fontId="11" fillId="0" borderId="31" xfId="7" applyFont="1" applyFill="1" applyBorder="1" applyAlignment="1">
      <alignment horizontal="center" vertical="center"/>
    </xf>
    <xf numFmtId="0" fontId="11" fillId="0" borderId="18" xfId="7" applyFont="1" applyFill="1" applyBorder="1" applyAlignment="1">
      <alignment horizontal="center" vertical="center"/>
    </xf>
    <xf numFmtId="0" fontId="11" fillId="0" borderId="154" xfId="7" applyFont="1" applyBorder="1" applyAlignment="1">
      <alignment horizontal="center" vertical="center"/>
    </xf>
    <xf numFmtId="0" fontId="11" fillId="0" borderId="110" xfId="7" applyFont="1" applyBorder="1" applyAlignment="1">
      <alignment horizontal="center" vertical="center"/>
    </xf>
    <xf numFmtId="0" fontId="11" fillId="0" borderId="112" xfId="7" applyFont="1" applyBorder="1" applyAlignment="1">
      <alignment horizontal="center" vertical="center"/>
    </xf>
    <xf numFmtId="198" fontId="27" fillId="0" borderId="18" xfId="2" applyNumberFormat="1" applyFont="1" applyFill="1" applyBorder="1" applyAlignment="1">
      <alignment horizontal="center" vertical="center"/>
    </xf>
    <xf numFmtId="177" fontId="27" fillId="0" borderId="89" xfId="0" applyNumberFormat="1" applyFont="1" applyFill="1" applyBorder="1" applyAlignment="1">
      <alignment vertical="center"/>
    </xf>
    <xf numFmtId="177" fontId="27" fillId="0" borderId="30" xfId="0" applyNumberFormat="1" applyFont="1" applyFill="1" applyBorder="1" applyAlignment="1">
      <alignment vertical="center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16" xfId="0" applyFont="1" applyFill="1" applyBorder="1" applyAlignment="1">
      <alignment horizontal="center" vertical="center"/>
    </xf>
    <xf numFmtId="0" fontId="27" fillId="4" borderId="193" xfId="0" applyFont="1" applyFill="1" applyBorder="1" applyAlignment="1">
      <alignment horizontal="center" vertical="center"/>
    </xf>
    <xf numFmtId="214" fontId="27" fillId="0" borderId="215" xfId="2" applyNumberFormat="1" applyFont="1" applyFill="1" applyBorder="1" applyAlignment="1">
      <alignment horizontal="center" vertical="center"/>
    </xf>
    <xf numFmtId="214" fontId="27" fillId="0" borderId="58" xfId="2" applyNumberFormat="1" applyFont="1" applyFill="1" applyBorder="1" applyAlignment="1">
      <alignment horizontal="center" vertical="center"/>
    </xf>
    <xf numFmtId="214" fontId="27" fillId="0" borderId="216" xfId="2" applyNumberFormat="1" applyFont="1" applyFill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144" xfId="0" applyFont="1" applyBorder="1" applyAlignment="1">
      <alignment horizontal="center" vertical="center"/>
    </xf>
    <xf numFmtId="178" fontId="0" fillId="0" borderId="260" xfId="1" applyNumberFormat="1" applyFont="1" applyFill="1" applyBorder="1" applyAlignment="1">
      <alignment horizontal="center" vertical="center"/>
    </xf>
    <xf numFmtId="178" fontId="0" fillId="0" borderId="263" xfId="1" applyNumberFormat="1" applyFont="1" applyFill="1" applyBorder="1" applyAlignment="1">
      <alignment horizontal="center" vertical="center"/>
    </xf>
    <xf numFmtId="178" fontId="0" fillId="0" borderId="257" xfId="1" applyNumberFormat="1" applyFont="1" applyFill="1" applyBorder="1" applyAlignment="1">
      <alignment horizontal="center" vertical="center"/>
    </xf>
    <xf numFmtId="178" fontId="0" fillId="0" borderId="143" xfId="1" applyNumberFormat="1" applyFont="1" applyFill="1" applyBorder="1" applyAlignment="1">
      <alignment horizontal="center" vertical="center"/>
    </xf>
    <xf numFmtId="178" fontId="0" fillId="0" borderId="258" xfId="1" applyNumberFormat="1" applyFont="1" applyFill="1" applyBorder="1" applyAlignment="1">
      <alignment horizontal="center" vertical="center"/>
    </xf>
    <xf numFmtId="178" fontId="0" fillId="0" borderId="223" xfId="1" applyNumberFormat="1" applyFont="1" applyFill="1" applyBorder="1" applyAlignment="1">
      <alignment horizontal="center" vertical="center"/>
    </xf>
    <xf numFmtId="0" fontId="0" fillId="4" borderId="99" xfId="0" applyFont="1" applyFill="1" applyBorder="1" applyAlignment="1">
      <alignment horizontal="center" vertical="center"/>
    </xf>
    <xf numFmtId="0" fontId="0" fillId="4" borderId="155" xfId="0" applyFont="1" applyFill="1" applyBorder="1" applyAlignment="1">
      <alignment horizontal="center" vertical="center"/>
    </xf>
    <xf numFmtId="0" fontId="0" fillId="4" borderId="228" xfId="0" applyFont="1" applyFill="1" applyBorder="1" applyAlignment="1">
      <alignment horizontal="center" vertical="center"/>
    </xf>
    <xf numFmtId="0" fontId="0" fillId="4" borderId="229" xfId="0" applyFont="1" applyFill="1" applyBorder="1" applyAlignment="1">
      <alignment horizontal="center" vertical="center"/>
    </xf>
    <xf numFmtId="0" fontId="0" fillId="4" borderId="230" xfId="0" applyFont="1" applyFill="1" applyBorder="1" applyAlignment="1">
      <alignment horizontal="center" vertical="center"/>
    </xf>
    <xf numFmtId="0" fontId="0" fillId="0" borderId="254" xfId="0" applyFont="1" applyBorder="1" applyAlignment="1">
      <alignment horizontal="center" vertical="center" wrapText="1"/>
    </xf>
    <xf numFmtId="0" fontId="0" fillId="0" borderId="142" xfId="0" applyFont="1" applyBorder="1" applyAlignment="1">
      <alignment horizontal="center" vertical="center" wrapText="1"/>
    </xf>
    <xf numFmtId="178" fontId="0" fillId="0" borderId="255" xfId="1" applyNumberFormat="1" applyFont="1" applyFill="1" applyBorder="1" applyAlignment="1">
      <alignment horizontal="center" vertical="center"/>
    </xf>
    <xf numFmtId="178" fontId="0" fillId="0" borderId="173" xfId="1" applyNumberFormat="1" applyFont="1" applyFill="1" applyBorder="1" applyAlignment="1">
      <alignment horizontal="center" vertical="center"/>
    </xf>
    <xf numFmtId="178" fontId="0" fillId="0" borderId="256" xfId="1" applyNumberFormat="1" applyFont="1" applyFill="1" applyBorder="1" applyAlignment="1">
      <alignment horizontal="center" vertical="center"/>
    </xf>
    <xf numFmtId="178" fontId="0" fillId="0" borderId="262" xfId="1" applyNumberFormat="1" applyFont="1" applyFill="1" applyBorder="1" applyAlignment="1">
      <alignment horizontal="center" vertical="center"/>
    </xf>
    <xf numFmtId="178" fontId="0" fillId="0" borderId="259" xfId="1" applyNumberFormat="1" applyFont="1" applyFill="1" applyBorder="1" applyAlignment="1">
      <alignment horizontal="center" vertical="center"/>
    </xf>
    <xf numFmtId="178" fontId="0" fillId="0" borderId="172" xfId="1" applyNumberFormat="1" applyFont="1" applyFill="1" applyBorder="1" applyAlignment="1">
      <alignment horizontal="center" vertical="center"/>
    </xf>
    <xf numFmtId="178" fontId="0" fillId="0" borderId="261" xfId="1" applyNumberFormat="1" applyFont="1" applyFill="1" applyBorder="1" applyAlignment="1">
      <alignment horizontal="center" vertical="center"/>
    </xf>
    <xf numFmtId="178" fontId="0" fillId="0" borderId="26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180" fontId="11" fillId="0" borderId="18" xfId="2" applyNumberFormat="1" applyFont="1" applyBorder="1" applyAlignment="1">
      <alignment horizontal="center" vertical="center" wrapText="1"/>
    </xf>
    <xf numFmtId="189" fontId="11" fillId="0" borderId="18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11" fillId="0" borderId="0" xfId="7" applyNumberFormat="1" applyFont="1" applyBorder="1" applyAlignment="1">
      <alignment horizontal="left" vertical="center" wrapText="1"/>
    </xf>
    <xf numFmtId="177" fontId="33" fillId="6" borderId="18" xfId="0" applyNumberFormat="1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/>
    </xf>
    <xf numFmtId="0" fontId="32" fillId="4" borderId="89" xfId="0" applyFont="1" applyFill="1" applyBorder="1" applyAlignment="1">
      <alignment horizontal="center" vertical="center" wrapText="1"/>
    </xf>
    <xf numFmtId="0" fontId="32" fillId="4" borderId="30" xfId="0" applyFont="1" applyFill="1" applyBorder="1" applyAlignment="1">
      <alignment horizontal="center" vertical="center" wrapText="1"/>
    </xf>
  </cellXfs>
  <cellStyles count="8">
    <cellStyle name="백분율" xfId="1" builtinId="5"/>
    <cellStyle name="쉼표 [0]" xfId="2" builtinId="6"/>
    <cellStyle name="표준" xfId="0" builtinId="0"/>
    <cellStyle name="표준 2" xfId="3"/>
    <cellStyle name="표준 2 2" xfId="4"/>
    <cellStyle name="표준 3" xfId="5"/>
    <cellStyle name="표준 4" xfId="6"/>
    <cellStyle name="표준_15_도로설계실적현황관리(수성+용마)" xfId="7"/>
  </cellStyles>
  <dxfs count="0"/>
  <tableStyles count="0" defaultTableStyle="TableStyleMedium9" defaultPivotStyle="PivotStyleLight16"/>
  <colors>
    <mruColors>
      <color rgb="FFCCFFCC"/>
      <color rgb="FFCCFFFF"/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47625</xdr:rowOff>
    </xdr:from>
    <xdr:to>
      <xdr:col>2</xdr:col>
      <xdr:colOff>47625</xdr:colOff>
      <xdr:row>3</xdr:row>
      <xdr:rowOff>285750</xdr:rowOff>
    </xdr:to>
    <xdr:sp macro="" textlink="">
      <xdr:nvSpPr>
        <xdr:cNvPr id="38913" name="Rectangle 1"/>
        <xdr:cNvSpPr>
          <a:spLocks noChangeArrowheads="1"/>
        </xdr:cNvSpPr>
      </xdr:nvSpPr>
      <xdr:spPr bwMode="auto">
        <a:xfrm>
          <a:off x="1143000" y="800100"/>
          <a:ext cx="428625" cy="2381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285750</xdr:colOff>
      <xdr:row>4</xdr:row>
      <xdr:rowOff>47625</xdr:rowOff>
    </xdr:from>
    <xdr:to>
      <xdr:col>2</xdr:col>
      <xdr:colOff>714375</xdr:colOff>
      <xdr:row>4</xdr:row>
      <xdr:rowOff>285750</xdr:rowOff>
    </xdr:to>
    <xdr:sp macro="" textlink="">
      <xdr:nvSpPr>
        <xdr:cNvPr id="38914" name="Rectangle 2"/>
        <xdr:cNvSpPr>
          <a:spLocks noChangeArrowheads="1"/>
        </xdr:cNvSpPr>
      </xdr:nvSpPr>
      <xdr:spPr bwMode="auto">
        <a:xfrm>
          <a:off x="1809750" y="1133475"/>
          <a:ext cx="428625" cy="2381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28575</xdr:rowOff>
    </xdr:from>
    <xdr:to>
      <xdr:col>1</xdr:col>
      <xdr:colOff>390525</xdr:colOff>
      <xdr:row>16</xdr:row>
      <xdr:rowOff>171450</xdr:rowOff>
    </xdr:to>
    <xdr:sp macro="" textlink="">
      <xdr:nvSpPr>
        <xdr:cNvPr id="39937" name="Rectangle 31"/>
        <xdr:cNvSpPr>
          <a:spLocks noChangeArrowheads="1"/>
        </xdr:cNvSpPr>
      </xdr:nvSpPr>
      <xdr:spPr bwMode="auto">
        <a:xfrm>
          <a:off x="361950" y="4943475"/>
          <a:ext cx="352425" cy="1428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9352;%20&#54260;&#45908;\&#54620;&#44397;&#53664;&#51648;&#51452;&#53469;&#44277;&#49324;(&#49340;&#505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(19.01.31~)&#44592;&#49696;&#49900;&#49324;&#52376;\01.%20&#49324;&#50629;&#49688;&#54665;&#45733;&#47141;&#54217;&#44032;\&#45800;&#51648;&#51312;&#49457;%20&#46321;%20&#49444;&#44228;&#50857;&#50669;\29-191118_&#45824;&#51204;&#52649;&#45224;19&#51648;&#50669;&#44060;&#48156;1&#53804;&#51088;&#49440;&#46020;&#51648;&#44396;(&#51652;&#44592;)\02.%20&#54217;&#44032;&#51032;&#47280;\1\07.&#54217;&#44032;\3.&#45824;&#51204;&#52649;&#45224;%20&#49324;&#50629;&#49688;&#54665;&#45733;&#47141;&#54217;&#44032;&#49436;_&#54217;&#44032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업체"/>
      <sheetName val="배점기준"/>
      <sheetName val="종합"/>
      <sheetName val="기술자"/>
      <sheetName val="사책(동일)"/>
      <sheetName val="도시계획분책(김기환)"/>
      <sheetName val="도로공항분책(동일)"/>
      <sheetName val="상하수도분책(김승관)"/>
      <sheetName val="토질지질분책(윤민수)"/>
      <sheetName val="구조분책(동일)"/>
      <sheetName val="도시계획참여(동일)"/>
      <sheetName val="도로공항참여(박종오)"/>
      <sheetName val="상하수도참여(동일)"/>
      <sheetName val="토질지질참여(김재현)"/>
      <sheetName val="구조참여(동일)"/>
      <sheetName val="교육훈련"/>
      <sheetName val="전차용역(기술자)"/>
      <sheetName val="유사용역"/>
      <sheetName val="유사(동일)"/>
      <sheetName val="유사(삼안)"/>
      <sheetName val="전차용역"/>
      <sheetName val="신용도"/>
      <sheetName val="부실벌점"/>
      <sheetName val="기술투자"/>
      <sheetName val="개발(동일)"/>
      <sheetName val="개발(삼안)"/>
      <sheetName val="활용(동일)"/>
      <sheetName val="활용(삼안)"/>
      <sheetName val="중첩도"/>
      <sheetName val="중첩신고"/>
      <sheetName val="가감점"/>
    </sheetNames>
    <sheetDataSet>
      <sheetData sheetId="0"/>
      <sheetData sheetId="1"/>
      <sheetData sheetId="2">
        <row r="9">
          <cell r="G9">
            <v>1548118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▣ 개발실적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요령"/>
      <sheetName val="참여업체(완)"/>
      <sheetName val="배점기준"/>
      <sheetName val="기술자"/>
      <sheetName val="종합"/>
      <sheetName val="사업책임기술자경력"/>
      <sheetName val="사업책임(김갑성)"/>
      <sheetName val="도시책임(윤수근)"/>
      <sheetName val="도로공항책임(이희철)"/>
      <sheetName val="구조책임(김대원)"/>
      <sheetName val="상하수도책임(박오현)"/>
      <sheetName val="토질책임(최인걸)"/>
      <sheetName val="조경책임(윤태호)"/>
      <sheetName val="도시참여(조호정)"/>
      <sheetName val="도로공항참여(금철수)"/>
      <sheetName val="구조참여(이성문)"/>
      <sheetName val="상하수도참여(김창옥)"/>
      <sheetName val="토질참여(양대권)"/>
      <sheetName val="조경참여(박동천)"/>
      <sheetName val="교육훈련"/>
      <sheetName val="전차용역(기술자)"/>
      <sheetName val="유사용역"/>
      <sheetName val="유사(서영)"/>
      <sheetName val="유사(유신)"/>
      <sheetName val="유사(동일)"/>
      <sheetName val="유사(선진)"/>
      <sheetName val="유사(신성)"/>
      <sheetName val="전차용역"/>
      <sheetName val="용역수행성과"/>
      <sheetName val="신용도"/>
      <sheetName val="부실벌점"/>
      <sheetName val="기술투자"/>
      <sheetName val="개발(서영)"/>
      <sheetName val="개발(유신)"/>
      <sheetName val="개발(선진)"/>
      <sheetName val="개발(동일)"/>
      <sheetName val="개발(신성)"/>
      <sheetName val="활용(서영)"/>
      <sheetName val="활용(유신)"/>
      <sheetName val="활용(동일)"/>
      <sheetName val="활용(선진)"/>
      <sheetName val="활용(신성)"/>
      <sheetName val="중소기업 상생발전"/>
      <sheetName val="중복도"/>
      <sheetName val="중복신고"/>
      <sheetName val="가감점"/>
    </sheetNames>
    <sheetDataSet>
      <sheetData sheetId="0"/>
      <sheetData sheetId="1"/>
      <sheetData sheetId="2">
        <row r="3">
          <cell r="D3">
            <v>0.3</v>
          </cell>
        </row>
        <row r="113">
          <cell r="C113">
            <v>3</v>
          </cell>
        </row>
        <row r="114">
          <cell r="C114">
            <v>4</v>
          </cell>
        </row>
        <row r="120">
          <cell r="C120">
            <v>2</v>
          </cell>
        </row>
        <row r="126">
          <cell r="C126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22"/>
  <sheetViews>
    <sheetView view="pageBreakPreview" zoomScaleNormal="100" zoomScaleSheetLayoutView="100" workbookViewId="0"/>
  </sheetViews>
  <sheetFormatPr defaultRowHeight="13.5"/>
  <cols>
    <col min="1" max="13" width="8.88671875" style="362"/>
    <col min="14" max="16384" width="8.88671875" style="207"/>
  </cols>
  <sheetData>
    <row r="2" spans="1:13" ht="32.25" customHeight="1">
      <c r="A2" s="27" t="s">
        <v>747</v>
      </c>
    </row>
    <row r="4" spans="1:13" s="30" customFormat="1" ht="26.25" customHeight="1">
      <c r="A4" s="28" t="s">
        <v>210</v>
      </c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s="30" customFormat="1" ht="26.25" customHeight="1">
      <c r="A5" s="28" t="s">
        <v>318</v>
      </c>
      <c r="B5" s="29"/>
      <c r="C5" s="28"/>
      <c r="D5" s="28" t="s">
        <v>319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s="30" customFormat="1" ht="26.25" customHeight="1">
      <c r="A6" s="28" t="s">
        <v>744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s="30" customFormat="1" ht="36.75" customHeight="1">
      <c r="A7" s="850" t="s">
        <v>755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28"/>
      <c r="M7" s="28"/>
    </row>
    <row r="8" spans="1:13" s="30" customFormat="1" ht="26.25" customHeight="1">
      <c r="A8" s="28" t="s">
        <v>745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41.25" customHeight="1">
      <c r="A9" s="849" t="s">
        <v>756</v>
      </c>
      <c r="B9" s="849"/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</row>
    <row r="10" spans="1:13" ht="26.25" customHeight="1">
      <c r="A10" s="28" t="s">
        <v>757</v>
      </c>
    </row>
    <row r="11" spans="1:13" ht="26.25" customHeight="1">
      <c r="A11" s="28" t="s">
        <v>746</v>
      </c>
    </row>
    <row r="12" spans="1:13" ht="26.25" customHeight="1">
      <c r="A12" s="182" t="s">
        <v>758</v>
      </c>
    </row>
    <row r="13" spans="1:13" ht="26.25" customHeight="1"/>
    <row r="14" spans="1:13" ht="26.25" customHeight="1"/>
    <row r="15" spans="1:13" ht="26.25" customHeight="1"/>
    <row r="22" spans="16:16">
      <c r="P22" s="219"/>
    </row>
  </sheetData>
  <mergeCells count="2">
    <mergeCell ref="A9:M9"/>
    <mergeCell ref="A7:K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85" zoomScaleSheetLayoutView="100" workbookViewId="0">
      <selection activeCell="C1" sqref="C1"/>
    </sheetView>
  </sheetViews>
  <sheetFormatPr defaultRowHeight="13.5"/>
  <cols>
    <col min="1" max="1" width="3.77734375" style="207" customWidth="1"/>
    <col min="2" max="2" width="33.77734375" style="207" customWidth="1"/>
    <col min="3" max="3" width="36.77734375" style="207" customWidth="1"/>
    <col min="4" max="6" width="9.6640625" style="207" customWidth="1"/>
    <col min="7" max="7" width="11.109375" style="207" bestFit="1" customWidth="1"/>
    <col min="8" max="13" width="9.6640625" style="207" customWidth="1"/>
    <col min="14" max="16384" width="8.88671875" style="207"/>
  </cols>
  <sheetData>
    <row r="1" spans="1:16" s="707" customFormat="1" ht="50.1" customHeight="1">
      <c r="A1" s="95"/>
      <c r="B1" s="153" t="s">
        <v>691</v>
      </c>
      <c r="C1" s="98">
        <v>0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218" customFormat="1" ht="33" customHeight="1" thickBot="1">
      <c r="A3" s="720"/>
      <c r="B3" s="719" t="s">
        <v>381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994" t="s">
        <v>17</v>
      </c>
      <c r="D4" s="994" t="s">
        <v>662</v>
      </c>
      <c r="E4" s="1019" t="s">
        <v>660</v>
      </c>
      <c r="F4" s="1017" t="s">
        <v>22</v>
      </c>
      <c r="G4" s="1017"/>
      <c r="H4" s="1017" t="s">
        <v>23</v>
      </c>
      <c r="I4" s="1017"/>
      <c r="J4" s="1017"/>
      <c r="K4" s="1017" t="s">
        <v>659</v>
      </c>
      <c r="L4" s="1017" t="s">
        <v>658</v>
      </c>
      <c r="M4" s="1017" t="s">
        <v>24</v>
      </c>
      <c r="N4" s="1009" t="s">
        <v>25</v>
      </c>
      <c r="O4" s="1011" t="s">
        <v>19</v>
      </c>
    </row>
    <row r="5" spans="1:16" s="47" customFormat="1" ht="33" customHeight="1">
      <c r="A5" s="993"/>
      <c r="B5" s="995"/>
      <c r="C5" s="995"/>
      <c r="D5" s="995"/>
      <c r="E5" s="1020"/>
      <c r="F5" s="783" t="s">
        <v>26</v>
      </c>
      <c r="G5" s="783" t="s">
        <v>661</v>
      </c>
      <c r="H5" s="783" t="s">
        <v>27</v>
      </c>
      <c r="I5" s="783" t="s">
        <v>28</v>
      </c>
      <c r="J5" s="174" t="s">
        <v>29</v>
      </c>
      <c r="K5" s="1018"/>
      <c r="L5" s="1018"/>
      <c r="M5" s="1018"/>
      <c r="N5" s="1010"/>
      <c r="O5" s="1012"/>
    </row>
    <row r="6" spans="1:16" s="390" customFormat="1" ht="360">
      <c r="A6" s="714">
        <v>1</v>
      </c>
      <c r="B6" s="715" t="s">
        <v>342</v>
      </c>
      <c r="C6" s="154" t="s">
        <v>401</v>
      </c>
      <c r="D6" s="716" t="s">
        <v>398</v>
      </c>
      <c r="E6" s="717">
        <v>4963</v>
      </c>
      <c r="F6" s="716" t="s">
        <v>399</v>
      </c>
      <c r="G6" s="716" t="s">
        <v>400</v>
      </c>
      <c r="H6" s="716" t="s">
        <v>399</v>
      </c>
      <c r="I6" s="716" t="s">
        <v>400</v>
      </c>
      <c r="J6" s="791">
        <f>I6-H6+1</f>
        <v>2165</v>
      </c>
      <c r="K6" s="718">
        <v>565000</v>
      </c>
      <c r="L6" s="160">
        <f>(IF(K7&gt;=3300000,3,IF(K7&gt;=1650000,2,1)))</f>
        <v>1</v>
      </c>
      <c r="M6" s="718" t="s">
        <v>402</v>
      </c>
      <c r="N6" s="792">
        <f>J6/365*L6</f>
        <v>5.9315068493150687</v>
      </c>
      <c r="O6" s="711"/>
    </row>
    <row r="7" spans="1:16" s="390" customFormat="1" ht="33" customHeight="1">
      <c r="A7" s="1013" t="s">
        <v>382</v>
      </c>
      <c r="B7" s="1014"/>
      <c r="C7" s="1014"/>
      <c r="D7" s="1014"/>
      <c r="E7" s="1014"/>
      <c r="F7" s="1014"/>
      <c r="G7" s="1014"/>
      <c r="H7" s="1014"/>
      <c r="I7" s="1014"/>
      <c r="J7" s="1014"/>
      <c r="K7" s="1014"/>
      <c r="L7" s="1014"/>
      <c r="M7" s="1014"/>
      <c r="N7" s="195">
        <f>SUM(N6:N6)</f>
        <v>5.9315068493150687</v>
      </c>
      <c r="O7" s="711"/>
    </row>
    <row r="8" spans="1:16" s="390" customFormat="1" ht="33" customHeight="1" thickBot="1">
      <c r="A8" s="1015" t="s">
        <v>383</v>
      </c>
      <c r="B8" s="1016"/>
      <c r="C8" s="1016"/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96">
        <f>N7</f>
        <v>5.9315068493150687</v>
      </c>
      <c r="O8" s="712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N4:N5"/>
    <mergeCell ref="O4:O5"/>
    <mergeCell ref="A7:M7"/>
    <mergeCell ref="B9:M9"/>
    <mergeCell ref="B16:M16"/>
    <mergeCell ref="A8:M8"/>
    <mergeCell ref="L4:L5"/>
    <mergeCell ref="M4:M5"/>
    <mergeCell ref="E4:E5"/>
    <mergeCell ref="F4:G4"/>
    <mergeCell ref="H4:J4"/>
    <mergeCell ref="K4:K5"/>
    <mergeCell ref="A4:A5"/>
    <mergeCell ref="B4:B5"/>
    <mergeCell ref="C4:C5"/>
    <mergeCell ref="D4:D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59" fitToHeight="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85" zoomScaleSheetLayoutView="100" workbookViewId="0">
      <selection activeCell="C1" sqref="C1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07" customFormat="1" ht="50.1" customHeight="1">
      <c r="A1" s="95"/>
      <c r="B1" s="153" t="s">
        <v>690</v>
      </c>
      <c r="C1" s="98" t="s">
        <v>570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/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8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N4:N5"/>
    <mergeCell ref="O4:O5"/>
    <mergeCell ref="A7:M7"/>
    <mergeCell ref="B9:M9"/>
    <mergeCell ref="B16:M16"/>
    <mergeCell ref="A8:M8"/>
    <mergeCell ref="A4:A5"/>
    <mergeCell ref="B4:B5"/>
    <mergeCell ref="C4:C5"/>
    <mergeCell ref="F4:G4"/>
    <mergeCell ref="E4:E5"/>
    <mergeCell ref="D4:D5"/>
    <mergeCell ref="K4:K5"/>
    <mergeCell ref="L4:L5"/>
    <mergeCell ref="M4:M5"/>
    <mergeCell ref="H4:J4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85" zoomScaleSheetLayoutView="100" workbookViewId="0">
      <selection activeCell="B1" sqref="B1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07" customFormat="1" ht="50.1" customHeight="1">
      <c r="A1" s="95"/>
      <c r="B1" s="153" t="s">
        <v>689</v>
      </c>
      <c r="C1" s="98" t="s">
        <v>571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N4:N5"/>
    <mergeCell ref="O4:O5"/>
    <mergeCell ref="A7:M7"/>
    <mergeCell ref="B9:M9"/>
    <mergeCell ref="B16:M16"/>
    <mergeCell ref="A8:M8"/>
    <mergeCell ref="L4:L5"/>
    <mergeCell ref="M4:M5"/>
    <mergeCell ref="E4:E5"/>
    <mergeCell ref="F4:G4"/>
    <mergeCell ref="H4:J4"/>
    <mergeCell ref="K4:K5"/>
    <mergeCell ref="A4:A5"/>
    <mergeCell ref="B4:B5"/>
    <mergeCell ref="C4:C5"/>
    <mergeCell ref="D4:D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85" zoomScaleSheetLayoutView="100" workbookViewId="0">
      <selection activeCell="B2" sqref="B2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07" customFormat="1" ht="50.1" customHeight="1">
      <c r="A1" s="95"/>
      <c r="B1" s="153" t="s">
        <v>761</v>
      </c>
      <c r="C1" s="98" t="s">
        <v>570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8" t="s">
        <v>26</v>
      </c>
      <c r="G5" s="790" t="s">
        <v>661</v>
      </c>
      <c r="H5" s="788" t="s">
        <v>27</v>
      </c>
      <c r="I5" s="788" t="s">
        <v>28</v>
      </c>
      <c r="J5" s="793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789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621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A7:M7"/>
    <mergeCell ref="A8:M8"/>
    <mergeCell ref="B9:M9"/>
    <mergeCell ref="B16:M16"/>
    <mergeCell ref="H4:J4"/>
    <mergeCell ref="K4:K5"/>
    <mergeCell ref="L4:L5"/>
    <mergeCell ref="M4:M5"/>
    <mergeCell ref="N4:N5"/>
    <mergeCell ref="O4:O5"/>
    <mergeCell ref="A4:A5"/>
    <mergeCell ref="B4:B5"/>
    <mergeCell ref="C4:C5"/>
    <mergeCell ref="D4:D5"/>
    <mergeCell ref="E4:E5"/>
    <mergeCell ref="F4:G4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3"/>
  <sheetViews>
    <sheetView view="pageBreakPreview" zoomScaleNormal="85" zoomScaleSheetLayoutView="100" workbookViewId="0">
      <pane xSplit="3" topLeftCell="D1" activePane="topRight" state="frozen"/>
      <selection activeCell="B6" sqref="B6"/>
      <selection pane="topRight" activeCell="A2" sqref="A2"/>
    </sheetView>
  </sheetViews>
  <sheetFormatPr defaultRowHeight="12" customHeight="1"/>
  <cols>
    <col min="1" max="1" width="4.33203125" style="18" bestFit="1" customWidth="1"/>
    <col min="2" max="2" width="28.88671875" style="14" customWidth="1"/>
    <col min="3" max="3" width="28.5546875" style="14" customWidth="1"/>
    <col min="4" max="4" width="10.5546875" style="14" customWidth="1"/>
    <col min="5" max="5" width="9.664062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1" width="9.5546875" style="17" bestFit="1" customWidth="1"/>
    <col min="12" max="12" width="8.44140625" style="17" customWidth="1"/>
    <col min="13" max="13" width="7.88671875" style="17" customWidth="1"/>
    <col min="14" max="14" width="8.88671875" style="10"/>
    <col min="15" max="15" width="9.77734375" style="10" customWidth="1"/>
    <col min="16" max="16384" width="8.88671875" style="10"/>
  </cols>
  <sheetData>
    <row r="1" spans="1:16" s="7" customFormat="1" ht="50.1" customHeight="1">
      <c r="A1" s="95"/>
      <c r="B1" s="724" t="s">
        <v>695</v>
      </c>
      <c r="C1" s="98" t="s">
        <v>572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51" customFormat="1" ht="9.9499999999999993" customHeight="1">
      <c r="A2" s="132"/>
      <c r="B2" s="132"/>
      <c r="C2" s="132"/>
      <c r="D2" s="132"/>
      <c r="E2" s="132"/>
      <c r="F2" s="132"/>
      <c r="G2" s="132"/>
      <c r="H2" s="132"/>
      <c r="I2" s="50"/>
      <c r="J2" s="50"/>
      <c r="K2" s="50"/>
      <c r="L2" s="50"/>
      <c r="M2" s="50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6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4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4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4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4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4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6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6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pans="1:13" s="36" customFormat="1" ht="20.100000000000001" customHeight="1">
      <c r="A17" s="73"/>
      <c r="B17" s="39"/>
      <c r="C17" s="39"/>
      <c r="D17" s="39"/>
      <c r="E17" s="39"/>
      <c r="F17" s="35"/>
      <c r="G17" s="35"/>
      <c r="J17" s="97"/>
      <c r="K17" s="37"/>
      <c r="L17" s="37"/>
      <c r="M17" s="37"/>
    </row>
    <row r="18" spans="1:13" s="36" customFormat="1" ht="20.100000000000001" customHeight="1">
      <c r="B18" s="39"/>
      <c r="C18" s="39"/>
      <c r="D18" s="39"/>
      <c r="E18" s="39"/>
      <c r="F18" s="35"/>
      <c r="G18" s="35"/>
      <c r="J18" s="97"/>
      <c r="K18" s="37"/>
      <c r="L18" s="37"/>
      <c r="M18" s="37"/>
    </row>
    <row r="19" spans="1:13" s="36" customFormat="1" ht="20.100000000000001" customHeight="1">
      <c r="B19" s="39"/>
      <c r="C19" s="39"/>
      <c r="D19" s="39"/>
      <c r="E19" s="39"/>
      <c r="F19" s="35"/>
      <c r="G19" s="35"/>
      <c r="J19" s="97"/>
      <c r="K19" s="37"/>
      <c r="L19" s="37"/>
      <c r="M19" s="37"/>
    </row>
    <row r="20" spans="1:13" s="57" customFormat="1" ht="20.100000000000001" customHeight="1">
      <c r="A20" s="35"/>
      <c r="B20" s="35"/>
      <c r="C20" s="35"/>
      <c r="D20" s="35"/>
      <c r="E20" s="35"/>
      <c r="F20" s="58"/>
      <c r="G20" s="58"/>
      <c r="H20" s="36"/>
      <c r="I20" s="36"/>
      <c r="J20" s="69"/>
      <c r="K20" s="59"/>
      <c r="L20" s="59"/>
      <c r="M20" s="59"/>
    </row>
    <row r="21" spans="1:13" s="57" customFormat="1" ht="20.100000000000001" customHeight="1">
      <c r="A21" s="708"/>
      <c r="B21" s="58"/>
      <c r="C21" s="58"/>
      <c r="D21" s="58"/>
      <c r="E21" s="58"/>
      <c r="F21" s="709"/>
      <c r="G21" s="709"/>
      <c r="H21" s="36"/>
      <c r="I21" s="36"/>
      <c r="J21" s="710"/>
      <c r="K21" s="59"/>
      <c r="L21" s="59"/>
      <c r="M21" s="59"/>
    </row>
    <row r="22" spans="1:13" s="57" customFormat="1" ht="20.100000000000001" customHeight="1">
      <c r="A22" s="708"/>
      <c r="B22" s="85"/>
      <c r="C22" s="709"/>
      <c r="D22" s="709"/>
      <c r="E22" s="709"/>
      <c r="F22" s="709"/>
      <c r="G22" s="709"/>
      <c r="H22" s="36"/>
      <c r="I22" s="36"/>
      <c r="J22" s="710"/>
      <c r="K22" s="59"/>
      <c r="L22" s="59"/>
      <c r="M22" s="59"/>
    </row>
    <row r="23" spans="1:13" s="57" customFormat="1" ht="15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59"/>
      <c r="L23" s="59"/>
      <c r="M23" s="59"/>
    </row>
    <row r="24" spans="1:13" s="57" customFormat="1" ht="12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59"/>
      <c r="L24" s="59"/>
      <c r="M24" s="59"/>
    </row>
    <row r="25" spans="1:13" s="57" customFormat="1" ht="12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59"/>
      <c r="L25" s="59"/>
      <c r="M25" s="59"/>
    </row>
    <row r="26" spans="1:13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59"/>
      <c r="L26" s="59"/>
      <c r="M26" s="59"/>
    </row>
    <row r="27" spans="1:13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59"/>
      <c r="L27" s="59"/>
      <c r="M27" s="59"/>
    </row>
    <row r="28" spans="1:13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59"/>
      <c r="L28" s="59"/>
      <c r="M28" s="59"/>
    </row>
    <row r="29" spans="1:13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59"/>
      <c r="L29" s="59"/>
      <c r="M29" s="59"/>
    </row>
    <row r="30" spans="1:13" s="57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J30" s="710"/>
      <c r="K30" s="59"/>
      <c r="L30" s="59"/>
      <c r="M30" s="59"/>
    </row>
    <row r="31" spans="1:13" s="57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J31" s="710"/>
      <c r="K31" s="59"/>
      <c r="L31" s="59"/>
      <c r="M31" s="59"/>
    </row>
    <row r="32" spans="1:13" s="57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J32" s="710"/>
      <c r="K32" s="59"/>
      <c r="L32" s="59"/>
      <c r="M32" s="59"/>
    </row>
    <row r="33" spans="1:15" s="57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J33" s="710"/>
      <c r="K33" s="59"/>
      <c r="L33" s="59"/>
      <c r="M33" s="59"/>
    </row>
    <row r="34" spans="1:15" s="57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J34" s="710"/>
      <c r="K34" s="59"/>
      <c r="L34" s="59"/>
      <c r="M34" s="59"/>
    </row>
    <row r="35" spans="1:15" s="710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K35" s="59"/>
      <c r="L35" s="59"/>
      <c r="M35" s="59"/>
      <c r="N35" s="57"/>
      <c r="O35" s="57"/>
    </row>
    <row r="36" spans="1:15" s="710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K36" s="59"/>
      <c r="L36" s="59"/>
      <c r="M36" s="59"/>
      <c r="N36" s="57"/>
      <c r="O36" s="57"/>
    </row>
    <row r="37" spans="1:15" s="710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K37" s="59"/>
      <c r="L37" s="59"/>
      <c r="M37" s="59"/>
      <c r="N37" s="57"/>
      <c r="O37" s="57"/>
    </row>
    <row r="38" spans="1:15" s="710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K38" s="59"/>
      <c r="L38" s="59"/>
      <c r="M38" s="59"/>
      <c r="N38" s="57"/>
      <c r="O38" s="57"/>
    </row>
    <row r="39" spans="1:15" s="710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K39" s="59"/>
      <c r="L39" s="59"/>
      <c r="M39" s="59"/>
      <c r="N39" s="57"/>
      <c r="O39" s="57"/>
    </row>
    <row r="40" spans="1:15" s="710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K40" s="59"/>
      <c r="L40" s="59"/>
      <c r="M40" s="59"/>
      <c r="N40" s="57"/>
      <c r="O40" s="57"/>
    </row>
    <row r="41" spans="1:15" s="710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K41" s="59"/>
      <c r="L41" s="59"/>
      <c r="M41" s="59"/>
      <c r="N41" s="57"/>
      <c r="O41" s="57"/>
    </row>
    <row r="42" spans="1:15" s="710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K42" s="59"/>
      <c r="L42" s="59"/>
      <c r="M42" s="59"/>
      <c r="N42" s="57"/>
      <c r="O42" s="57"/>
    </row>
    <row r="43" spans="1:15" s="710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K43" s="59"/>
      <c r="L43" s="59"/>
      <c r="M43" s="59"/>
      <c r="N43" s="57"/>
      <c r="O43" s="57"/>
    </row>
    <row r="44" spans="1:15" s="710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K44" s="59"/>
      <c r="L44" s="59"/>
      <c r="M44" s="59"/>
      <c r="N44" s="57"/>
      <c r="O44" s="57"/>
    </row>
    <row r="45" spans="1:15" s="710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K45" s="59"/>
      <c r="L45" s="59"/>
      <c r="M45" s="59"/>
      <c r="N45" s="57"/>
      <c r="O45" s="57"/>
    </row>
    <row r="46" spans="1:15" s="710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K46" s="59"/>
      <c r="L46" s="59"/>
      <c r="M46" s="59"/>
      <c r="N46" s="57"/>
      <c r="O46" s="57"/>
    </row>
    <row r="47" spans="1:15" s="710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K47" s="59"/>
      <c r="L47" s="59"/>
      <c r="M47" s="59"/>
      <c r="N47" s="57"/>
      <c r="O47" s="57"/>
    </row>
    <row r="48" spans="1:15" s="710" customFormat="1" ht="12" customHeight="1">
      <c r="A48" s="708"/>
      <c r="B48" s="85"/>
      <c r="C48" s="709"/>
      <c r="D48" s="709"/>
      <c r="E48" s="709"/>
      <c r="F48" s="709"/>
      <c r="G48" s="709"/>
      <c r="H48" s="36"/>
      <c r="I48" s="36"/>
      <c r="K48" s="59"/>
      <c r="L48" s="59"/>
      <c r="M48" s="59"/>
      <c r="N48" s="57"/>
      <c r="O48" s="57"/>
    </row>
    <row r="49" spans="1:15" s="710" customFormat="1" ht="12" customHeight="1">
      <c r="A49" s="708"/>
      <c r="B49" s="85"/>
      <c r="C49" s="709"/>
      <c r="D49" s="709"/>
      <c r="E49" s="709"/>
      <c r="F49" s="709"/>
      <c r="G49" s="709"/>
      <c r="H49" s="36"/>
      <c r="I49" s="36"/>
      <c r="K49" s="59"/>
      <c r="L49" s="59"/>
      <c r="M49" s="59"/>
      <c r="N49" s="57"/>
      <c r="O49" s="57"/>
    </row>
    <row r="50" spans="1:15" s="710" customFormat="1" ht="12" customHeight="1">
      <c r="A50" s="708"/>
      <c r="B50" s="85"/>
      <c r="C50" s="709"/>
      <c r="D50" s="709"/>
      <c r="E50" s="709"/>
      <c r="F50" s="709"/>
      <c r="G50" s="709"/>
      <c r="H50" s="36"/>
      <c r="I50" s="36"/>
      <c r="K50" s="59"/>
      <c r="L50" s="59"/>
      <c r="M50" s="59"/>
      <c r="N50" s="57"/>
      <c r="O50" s="57"/>
    </row>
    <row r="51" spans="1:15" s="710" customFormat="1" ht="12" customHeight="1">
      <c r="A51" s="708"/>
      <c r="B51" s="85"/>
      <c r="C51" s="709"/>
      <c r="D51" s="709"/>
      <c r="E51" s="709"/>
      <c r="F51" s="709"/>
      <c r="G51" s="709"/>
      <c r="H51" s="36"/>
      <c r="I51" s="36"/>
      <c r="K51" s="59"/>
      <c r="L51" s="59"/>
      <c r="M51" s="59"/>
      <c r="N51" s="57"/>
      <c r="O51" s="57"/>
    </row>
    <row r="52" spans="1:15" s="710" customFormat="1" ht="12" customHeight="1">
      <c r="A52" s="708"/>
      <c r="B52" s="85"/>
      <c r="C52" s="709"/>
      <c r="D52" s="709"/>
      <c r="E52" s="709"/>
      <c r="F52" s="709"/>
      <c r="G52" s="709"/>
      <c r="H52" s="36"/>
      <c r="I52" s="36"/>
      <c r="K52" s="59"/>
      <c r="L52" s="59"/>
      <c r="M52" s="59"/>
      <c r="N52" s="57"/>
      <c r="O52" s="57"/>
    </row>
    <row r="53" spans="1:15" s="38" customFormat="1" ht="12" customHeight="1">
      <c r="A53" s="18"/>
      <c r="B53" s="14"/>
      <c r="C53" s="19"/>
      <c r="D53" s="19"/>
      <c r="E53" s="19"/>
      <c r="F53" s="19"/>
      <c r="G53" s="19"/>
      <c r="H53" s="21"/>
      <c r="I53" s="21"/>
      <c r="K53" s="17"/>
      <c r="L53" s="17"/>
      <c r="M53" s="17"/>
      <c r="N53" s="10"/>
      <c r="O53" s="10"/>
    </row>
    <row r="54" spans="1:15" s="38" customFormat="1" ht="12" customHeight="1">
      <c r="A54" s="18"/>
      <c r="B54" s="14"/>
      <c r="C54" s="19"/>
      <c r="D54" s="19"/>
      <c r="E54" s="19"/>
      <c r="F54" s="19"/>
      <c r="G54" s="19"/>
      <c r="H54" s="21"/>
      <c r="I54" s="21"/>
      <c r="K54" s="17"/>
      <c r="L54" s="17"/>
      <c r="M54" s="17"/>
      <c r="N54" s="10"/>
      <c r="O54" s="10"/>
    </row>
    <row r="55" spans="1:15" s="38" customFormat="1" ht="12" customHeight="1">
      <c r="A55" s="18"/>
      <c r="B55" s="14"/>
      <c r="C55" s="19"/>
      <c r="D55" s="19"/>
      <c r="E55" s="19"/>
      <c r="F55" s="19"/>
      <c r="G55" s="19"/>
      <c r="H55" s="21"/>
      <c r="I55" s="21"/>
      <c r="K55" s="17"/>
      <c r="L55" s="17"/>
      <c r="M55" s="17"/>
      <c r="N55" s="10"/>
      <c r="O55" s="10"/>
    </row>
    <row r="56" spans="1:15" s="38" customFormat="1" ht="12" customHeight="1">
      <c r="A56" s="18"/>
      <c r="B56" s="14"/>
      <c r="C56" s="19"/>
      <c r="D56" s="19"/>
      <c r="E56" s="19"/>
      <c r="F56" s="19"/>
      <c r="G56" s="19"/>
      <c r="H56" s="21"/>
      <c r="I56" s="21"/>
      <c r="K56" s="17"/>
      <c r="L56" s="17"/>
      <c r="M56" s="17"/>
      <c r="N56" s="10"/>
      <c r="O56" s="10"/>
    </row>
    <row r="57" spans="1:15" s="38" customFormat="1" ht="12" customHeight="1">
      <c r="A57" s="18"/>
      <c r="B57" s="14"/>
      <c r="C57" s="19"/>
      <c r="D57" s="19"/>
      <c r="E57" s="19"/>
      <c r="F57" s="19"/>
      <c r="G57" s="19"/>
      <c r="H57" s="21"/>
      <c r="I57" s="21"/>
      <c r="K57" s="17"/>
      <c r="L57" s="17"/>
      <c r="M57" s="17"/>
      <c r="N57" s="10"/>
      <c r="O57" s="10"/>
    </row>
    <row r="58" spans="1:15" s="38" customFormat="1" ht="12" customHeight="1">
      <c r="A58" s="18"/>
      <c r="B58" s="14"/>
      <c r="C58" s="19"/>
      <c r="D58" s="19"/>
      <c r="E58" s="19"/>
      <c r="F58" s="19"/>
      <c r="G58" s="19"/>
      <c r="H58" s="21"/>
      <c r="I58" s="21"/>
      <c r="K58" s="17"/>
      <c r="L58" s="17"/>
      <c r="M58" s="17"/>
      <c r="N58" s="10"/>
      <c r="O58" s="10"/>
    </row>
    <row r="59" spans="1:15" s="38" customFormat="1" ht="12" customHeight="1">
      <c r="A59" s="18"/>
      <c r="B59" s="14"/>
      <c r="C59" s="19"/>
      <c r="D59" s="19"/>
      <c r="E59" s="19"/>
      <c r="F59" s="19"/>
      <c r="G59" s="19"/>
      <c r="H59" s="21"/>
      <c r="I59" s="21"/>
      <c r="K59" s="17"/>
      <c r="L59" s="17"/>
      <c r="M59" s="17"/>
      <c r="N59" s="10"/>
      <c r="O59" s="10"/>
    </row>
    <row r="60" spans="1:15" s="38" customFormat="1" ht="12" customHeight="1">
      <c r="A60" s="18"/>
      <c r="B60" s="14"/>
      <c r="C60" s="19"/>
      <c r="D60" s="19"/>
      <c r="E60" s="19"/>
      <c r="F60" s="19"/>
      <c r="G60" s="19"/>
      <c r="H60" s="21"/>
      <c r="I60" s="21"/>
      <c r="K60" s="17"/>
      <c r="L60" s="17"/>
      <c r="M60" s="17"/>
      <c r="N60" s="10"/>
      <c r="O60" s="10"/>
    </row>
    <row r="61" spans="1:15" s="38" customFormat="1" ht="12" customHeight="1">
      <c r="A61" s="18"/>
      <c r="B61" s="14"/>
      <c r="C61" s="19"/>
      <c r="D61" s="19"/>
      <c r="E61" s="19"/>
      <c r="F61" s="19"/>
      <c r="G61" s="19"/>
      <c r="H61" s="21"/>
      <c r="I61" s="21"/>
      <c r="K61" s="17"/>
      <c r="L61" s="17"/>
      <c r="M61" s="17"/>
      <c r="N61" s="10"/>
      <c r="O61" s="10"/>
    </row>
    <row r="62" spans="1:15" s="38" customFormat="1" ht="12" customHeight="1">
      <c r="A62" s="18"/>
      <c r="B62" s="14"/>
      <c r="C62" s="19"/>
      <c r="D62" s="19"/>
      <c r="E62" s="19"/>
      <c r="F62" s="19"/>
      <c r="G62" s="19"/>
      <c r="H62" s="21"/>
      <c r="I62" s="21"/>
      <c r="K62" s="17"/>
      <c r="L62" s="17"/>
      <c r="M62" s="17"/>
      <c r="N62" s="10"/>
      <c r="O62" s="10"/>
    </row>
    <row r="63" spans="1:15" s="38" customFormat="1" ht="12" customHeight="1">
      <c r="A63" s="18"/>
      <c r="B63" s="14"/>
      <c r="C63" s="19"/>
      <c r="D63" s="19"/>
      <c r="E63" s="19"/>
      <c r="F63" s="19"/>
      <c r="G63" s="19"/>
      <c r="H63" s="21"/>
      <c r="I63" s="21"/>
      <c r="K63" s="17"/>
      <c r="L63" s="17"/>
      <c r="M63" s="17"/>
      <c r="N63" s="10"/>
      <c r="O63" s="10"/>
    </row>
    <row r="64" spans="1:15" s="38" customFormat="1" ht="12" customHeight="1">
      <c r="A64" s="18"/>
      <c r="B64" s="14"/>
      <c r="C64" s="19"/>
      <c r="D64" s="19"/>
      <c r="E64" s="19"/>
      <c r="F64" s="19"/>
      <c r="G64" s="19"/>
      <c r="H64" s="21"/>
      <c r="I64" s="21"/>
      <c r="K64" s="17"/>
      <c r="L64" s="17"/>
      <c r="M64" s="17"/>
      <c r="N64" s="10"/>
      <c r="O64" s="10"/>
    </row>
    <row r="65" spans="1:15" s="38" customFormat="1" ht="12" customHeight="1">
      <c r="A65" s="18"/>
      <c r="B65" s="14"/>
      <c r="C65" s="19"/>
      <c r="D65" s="19"/>
      <c r="E65" s="19"/>
      <c r="F65" s="19"/>
      <c r="G65" s="19"/>
      <c r="H65" s="21"/>
      <c r="I65" s="21"/>
      <c r="K65" s="17"/>
      <c r="L65" s="17"/>
      <c r="M65" s="17"/>
      <c r="N65" s="10"/>
      <c r="O65" s="10"/>
    </row>
    <row r="66" spans="1:15" s="38" customFormat="1" ht="12" customHeight="1">
      <c r="A66" s="18"/>
      <c r="B66" s="14"/>
      <c r="C66" s="19"/>
      <c r="D66" s="19"/>
      <c r="E66" s="19"/>
      <c r="F66" s="19"/>
      <c r="G66" s="19"/>
      <c r="H66" s="21"/>
      <c r="I66" s="21"/>
      <c r="K66" s="17"/>
      <c r="L66" s="17"/>
      <c r="M66" s="17"/>
      <c r="N66" s="10"/>
      <c r="O66" s="10"/>
    </row>
    <row r="67" spans="1:15" s="38" customFormat="1" ht="12" customHeight="1">
      <c r="A67" s="18"/>
      <c r="B67" s="14"/>
      <c r="C67" s="19"/>
      <c r="D67" s="19"/>
      <c r="E67" s="19"/>
      <c r="F67" s="19"/>
      <c r="G67" s="19"/>
      <c r="H67" s="21"/>
      <c r="I67" s="21"/>
      <c r="K67" s="17"/>
      <c r="L67" s="17"/>
      <c r="M67" s="17"/>
      <c r="N67" s="10"/>
      <c r="O67" s="10"/>
    </row>
    <row r="68" spans="1:15" s="38" customFormat="1" ht="12" customHeight="1">
      <c r="A68" s="18"/>
      <c r="B68" s="14"/>
      <c r="C68" s="19"/>
      <c r="D68" s="19"/>
      <c r="E68" s="19"/>
      <c r="F68" s="19"/>
      <c r="G68" s="19"/>
      <c r="H68" s="21"/>
      <c r="I68" s="21"/>
      <c r="K68" s="17"/>
      <c r="L68" s="17"/>
      <c r="M68" s="17"/>
      <c r="N68" s="10"/>
      <c r="O68" s="10"/>
    </row>
    <row r="69" spans="1:15" s="38" customFormat="1" ht="12" customHeight="1">
      <c r="A69" s="18"/>
      <c r="B69" s="14"/>
      <c r="C69" s="19"/>
      <c r="D69" s="19"/>
      <c r="E69" s="19"/>
      <c r="F69" s="19"/>
      <c r="G69" s="19"/>
      <c r="H69" s="21"/>
      <c r="I69" s="21"/>
      <c r="K69" s="17"/>
      <c r="L69" s="17"/>
      <c r="M69" s="17"/>
      <c r="N69" s="10"/>
      <c r="O69" s="10"/>
    </row>
    <row r="70" spans="1:15" s="38" customFormat="1" ht="12" customHeight="1">
      <c r="A70" s="18"/>
      <c r="B70" s="14"/>
      <c r="C70" s="19"/>
      <c r="D70" s="19"/>
      <c r="E70" s="19"/>
      <c r="F70" s="19"/>
      <c r="G70" s="19"/>
      <c r="H70" s="21"/>
      <c r="I70" s="21"/>
      <c r="K70" s="17"/>
      <c r="L70" s="17"/>
      <c r="M70" s="17"/>
      <c r="N70" s="10"/>
      <c r="O70" s="10"/>
    </row>
    <row r="71" spans="1:15" s="38" customFormat="1" ht="12" customHeight="1">
      <c r="A71" s="18"/>
      <c r="B71" s="14"/>
      <c r="C71" s="19"/>
      <c r="D71" s="19"/>
      <c r="E71" s="19"/>
      <c r="F71" s="19"/>
      <c r="G71" s="19"/>
      <c r="H71" s="21"/>
      <c r="I71" s="21"/>
      <c r="K71" s="17"/>
      <c r="L71" s="17"/>
      <c r="M71" s="17"/>
      <c r="N71" s="10"/>
      <c r="O71" s="10"/>
    </row>
    <row r="72" spans="1:15" s="38" customFormat="1" ht="12" customHeight="1">
      <c r="A72" s="18"/>
      <c r="B72" s="14"/>
      <c r="C72" s="19"/>
      <c r="D72" s="19"/>
      <c r="E72" s="19"/>
      <c r="F72" s="19"/>
      <c r="G72" s="19"/>
      <c r="H72" s="21"/>
      <c r="I72" s="21"/>
      <c r="K72" s="17"/>
      <c r="L72" s="17"/>
      <c r="M72" s="17"/>
      <c r="N72" s="10"/>
      <c r="O72" s="10"/>
    </row>
    <row r="73" spans="1:15" s="38" customFormat="1" ht="12" customHeight="1">
      <c r="A73" s="18"/>
      <c r="B73" s="14"/>
      <c r="C73" s="19"/>
      <c r="D73" s="19"/>
      <c r="E73" s="19"/>
      <c r="F73" s="19"/>
      <c r="G73" s="19"/>
      <c r="H73" s="21"/>
      <c r="I73" s="21"/>
      <c r="K73" s="17"/>
      <c r="L73" s="17"/>
      <c r="M73" s="17"/>
      <c r="N73" s="10"/>
      <c r="O73" s="10"/>
    </row>
    <row r="74" spans="1:15" s="38" customFormat="1" ht="12" customHeight="1">
      <c r="A74" s="18"/>
      <c r="B74" s="14"/>
      <c r="C74" s="19"/>
      <c r="D74" s="19"/>
      <c r="E74" s="19"/>
      <c r="F74" s="19"/>
      <c r="G74" s="19"/>
      <c r="H74" s="21"/>
      <c r="I74" s="21"/>
      <c r="K74" s="17"/>
      <c r="L74" s="17"/>
      <c r="M74" s="17"/>
      <c r="N74" s="10"/>
      <c r="O74" s="10"/>
    </row>
    <row r="75" spans="1:15" s="38" customFormat="1" ht="12" customHeight="1">
      <c r="A75" s="18"/>
      <c r="B75" s="14"/>
      <c r="C75" s="19"/>
      <c r="D75" s="19"/>
      <c r="E75" s="19"/>
      <c r="F75" s="19"/>
      <c r="G75" s="19"/>
      <c r="H75" s="21"/>
      <c r="I75" s="21"/>
      <c r="K75" s="17"/>
      <c r="L75" s="17"/>
      <c r="M75" s="17"/>
      <c r="N75" s="10"/>
      <c r="O75" s="10"/>
    </row>
    <row r="76" spans="1:15" s="38" customFormat="1" ht="12" customHeight="1">
      <c r="A76" s="18"/>
      <c r="B76" s="14"/>
      <c r="C76" s="19"/>
      <c r="D76" s="19"/>
      <c r="E76" s="19"/>
      <c r="F76" s="19"/>
      <c r="G76" s="19"/>
      <c r="H76" s="21"/>
      <c r="I76" s="21"/>
      <c r="K76" s="17"/>
      <c r="L76" s="17"/>
      <c r="M76" s="17"/>
      <c r="N76" s="10"/>
      <c r="O76" s="10"/>
    </row>
    <row r="77" spans="1:15" s="38" customFormat="1" ht="12" customHeight="1">
      <c r="A77" s="18"/>
      <c r="B77" s="14"/>
      <c r="C77" s="19"/>
      <c r="D77" s="19"/>
      <c r="E77" s="19"/>
      <c r="F77" s="19"/>
      <c r="G77" s="19"/>
      <c r="H77" s="21"/>
      <c r="I77" s="21"/>
      <c r="K77" s="17"/>
      <c r="L77" s="17"/>
      <c r="M77" s="17"/>
      <c r="N77" s="10"/>
      <c r="O77" s="10"/>
    </row>
    <row r="78" spans="1:15" s="38" customFormat="1" ht="12" customHeight="1">
      <c r="A78" s="18"/>
      <c r="B78" s="14"/>
      <c r="C78" s="19"/>
      <c r="D78" s="19"/>
      <c r="E78" s="19"/>
      <c r="F78" s="19"/>
      <c r="G78" s="19"/>
      <c r="H78" s="21"/>
      <c r="I78" s="21"/>
      <c r="K78" s="17"/>
      <c r="L78" s="17"/>
      <c r="M78" s="17"/>
      <c r="N78" s="10"/>
      <c r="O78" s="10"/>
    </row>
    <row r="79" spans="1:15" s="38" customFormat="1" ht="12" customHeight="1">
      <c r="A79" s="18"/>
      <c r="B79" s="14"/>
      <c r="C79" s="19"/>
      <c r="D79" s="19"/>
      <c r="E79" s="19"/>
      <c r="F79" s="19"/>
      <c r="G79" s="19"/>
      <c r="H79" s="21"/>
      <c r="I79" s="21"/>
      <c r="K79" s="17"/>
      <c r="L79" s="17"/>
      <c r="M79" s="17"/>
      <c r="N79" s="10"/>
      <c r="O79" s="10"/>
    </row>
    <row r="80" spans="1:15" s="38" customFormat="1" ht="12" customHeight="1">
      <c r="A80" s="18"/>
      <c r="B80" s="14"/>
      <c r="C80" s="19"/>
      <c r="D80" s="19"/>
      <c r="E80" s="19"/>
      <c r="F80" s="19"/>
      <c r="G80" s="19"/>
      <c r="H80" s="21"/>
      <c r="I80" s="21"/>
      <c r="K80" s="17"/>
      <c r="L80" s="17"/>
      <c r="M80" s="17"/>
      <c r="N80" s="10"/>
      <c r="O80" s="10"/>
    </row>
    <row r="81" spans="1:15" s="38" customFormat="1" ht="12" customHeight="1">
      <c r="A81" s="18"/>
      <c r="B81" s="14"/>
      <c r="C81" s="19"/>
      <c r="D81" s="19"/>
      <c r="E81" s="19"/>
      <c r="F81" s="19"/>
      <c r="G81" s="19"/>
      <c r="H81" s="21"/>
      <c r="I81" s="21"/>
      <c r="K81" s="17"/>
      <c r="L81" s="17"/>
      <c r="M81" s="17"/>
      <c r="N81" s="10"/>
      <c r="O81" s="10"/>
    </row>
    <row r="82" spans="1:15" s="38" customFormat="1" ht="12" customHeight="1">
      <c r="A82" s="18"/>
      <c r="B82" s="14"/>
      <c r="C82" s="19"/>
      <c r="D82" s="19"/>
      <c r="E82" s="19"/>
      <c r="F82" s="19"/>
      <c r="G82" s="19"/>
      <c r="H82" s="21"/>
      <c r="I82" s="21"/>
      <c r="K82" s="17"/>
      <c r="L82" s="17"/>
      <c r="M82" s="17"/>
      <c r="N82" s="10"/>
      <c r="O82" s="10"/>
    </row>
    <row r="83" spans="1:15" s="38" customFormat="1" ht="12" customHeight="1">
      <c r="A83" s="18"/>
      <c r="B83" s="14"/>
      <c r="C83" s="19"/>
      <c r="D83" s="19"/>
      <c r="E83" s="19"/>
      <c r="F83" s="19"/>
      <c r="G83" s="19"/>
      <c r="H83" s="21"/>
      <c r="I83" s="21"/>
      <c r="K83" s="17"/>
      <c r="L83" s="17"/>
      <c r="M83" s="17"/>
      <c r="N83" s="10"/>
      <c r="O83" s="10"/>
    </row>
    <row r="84" spans="1:15" s="38" customFormat="1" ht="12" customHeight="1">
      <c r="A84" s="18"/>
      <c r="B84" s="14"/>
      <c r="C84" s="19"/>
      <c r="D84" s="19"/>
      <c r="E84" s="19"/>
      <c r="F84" s="19"/>
      <c r="G84" s="19"/>
      <c r="H84" s="21"/>
      <c r="I84" s="21"/>
      <c r="K84" s="17"/>
      <c r="L84" s="17"/>
      <c r="M84" s="17"/>
      <c r="N84" s="10"/>
      <c r="O84" s="10"/>
    </row>
    <row r="85" spans="1:15" s="38" customFormat="1" ht="12" customHeight="1">
      <c r="A85" s="18"/>
      <c r="B85" s="14"/>
      <c r="C85" s="19"/>
      <c r="D85" s="19"/>
      <c r="E85" s="19"/>
      <c r="F85" s="19"/>
      <c r="G85" s="19"/>
      <c r="H85" s="21"/>
      <c r="I85" s="21"/>
      <c r="K85" s="17"/>
      <c r="L85" s="17"/>
      <c r="M85" s="17"/>
      <c r="N85" s="10"/>
      <c r="O85" s="10"/>
    </row>
    <row r="86" spans="1:15" s="38" customFormat="1" ht="12" customHeight="1">
      <c r="A86" s="18"/>
      <c r="B86" s="14"/>
      <c r="C86" s="19"/>
      <c r="D86" s="19"/>
      <c r="E86" s="19"/>
      <c r="F86" s="19"/>
      <c r="G86" s="19"/>
      <c r="H86" s="21"/>
      <c r="I86" s="21"/>
      <c r="K86" s="17"/>
      <c r="L86" s="17"/>
      <c r="M86" s="17"/>
      <c r="N86" s="10"/>
      <c r="O86" s="10"/>
    </row>
    <row r="87" spans="1:15" s="38" customFormat="1" ht="12" customHeight="1">
      <c r="A87" s="18"/>
      <c r="B87" s="14"/>
      <c r="C87" s="19"/>
      <c r="D87" s="19"/>
      <c r="E87" s="19"/>
      <c r="F87" s="19"/>
      <c r="G87" s="19"/>
      <c r="H87" s="21"/>
      <c r="I87" s="21"/>
      <c r="K87" s="17"/>
      <c r="L87" s="17"/>
      <c r="M87" s="17"/>
      <c r="N87" s="10"/>
      <c r="O87" s="10"/>
    </row>
    <row r="88" spans="1:15" s="38" customFormat="1" ht="12" customHeight="1">
      <c r="A88" s="18"/>
      <c r="B88" s="14"/>
      <c r="C88" s="19"/>
      <c r="D88" s="19"/>
      <c r="E88" s="19"/>
      <c r="F88" s="19"/>
      <c r="G88" s="19"/>
      <c r="H88" s="21"/>
      <c r="I88" s="21"/>
      <c r="K88" s="17"/>
      <c r="L88" s="17"/>
      <c r="M88" s="17"/>
      <c r="N88" s="10"/>
      <c r="O88" s="10"/>
    </row>
    <row r="89" spans="1:15" s="38" customFormat="1" ht="12" customHeight="1">
      <c r="A89" s="18"/>
      <c r="B89" s="14"/>
      <c r="C89" s="19"/>
      <c r="D89" s="19"/>
      <c r="E89" s="19"/>
      <c r="F89" s="19"/>
      <c r="G89" s="19"/>
      <c r="H89" s="21"/>
      <c r="I89" s="21"/>
      <c r="K89" s="17"/>
      <c r="L89" s="17"/>
      <c r="M89" s="17"/>
      <c r="N89" s="10"/>
      <c r="O89" s="10"/>
    </row>
    <row r="90" spans="1:15" s="38" customFormat="1" ht="12" customHeight="1">
      <c r="A90" s="18"/>
      <c r="B90" s="14"/>
      <c r="C90" s="19"/>
      <c r="D90" s="19"/>
      <c r="E90" s="19"/>
      <c r="F90" s="19"/>
      <c r="G90" s="19"/>
      <c r="H90" s="21"/>
      <c r="I90" s="21"/>
      <c r="K90" s="17"/>
      <c r="L90" s="17"/>
      <c r="M90" s="17"/>
      <c r="N90" s="10"/>
      <c r="O90" s="10"/>
    </row>
    <row r="91" spans="1:15" s="38" customFormat="1" ht="12" customHeight="1">
      <c r="A91" s="18"/>
      <c r="B91" s="14"/>
      <c r="C91" s="19"/>
      <c r="D91" s="19"/>
      <c r="E91" s="19"/>
      <c r="F91" s="19"/>
      <c r="G91" s="19"/>
      <c r="H91" s="21"/>
      <c r="I91" s="21"/>
      <c r="K91" s="17"/>
      <c r="L91" s="17"/>
      <c r="M91" s="17"/>
      <c r="N91" s="10"/>
      <c r="O91" s="10"/>
    </row>
    <row r="92" spans="1:15" s="38" customFormat="1" ht="12" customHeight="1">
      <c r="A92" s="18"/>
      <c r="B92" s="14"/>
      <c r="C92" s="19"/>
      <c r="D92" s="19"/>
      <c r="E92" s="19"/>
      <c r="F92" s="19"/>
      <c r="G92" s="19"/>
      <c r="H92" s="21"/>
      <c r="I92" s="21"/>
      <c r="K92" s="17"/>
      <c r="L92" s="17"/>
      <c r="M92" s="17"/>
      <c r="N92" s="10"/>
      <c r="O92" s="10"/>
    </row>
    <row r="93" spans="1:15" s="38" customFormat="1" ht="12" customHeight="1">
      <c r="A93" s="18"/>
      <c r="B93" s="14"/>
      <c r="C93" s="19"/>
      <c r="D93" s="19"/>
      <c r="E93" s="19"/>
      <c r="F93" s="19"/>
      <c r="G93" s="19"/>
      <c r="H93" s="21"/>
      <c r="I93" s="21"/>
      <c r="K93" s="17"/>
      <c r="L93" s="17"/>
      <c r="M93" s="17"/>
      <c r="N93" s="10"/>
      <c r="O93" s="10"/>
    </row>
    <row r="94" spans="1:15" s="38" customFormat="1" ht="12" customHeight="1">
      <c r="A94" s="18"/>
      <c r="B94" s="14"/>
      <c r="C94" s="19"/>
      <c r="D94" s="19"/>
      <c r="E94" s="19"/>
      <c r="F94" s="19"/>
      <c r="G94" s="19"/>
      <c r="H94" s="21"/>
      <c r="I94" s="21"/>
      <c r="K94" s="17"/>
      <c r="L94" s="17"/>
      <c r="M94" s="17"/>
      <c r="N94" s="10"/>
      <c r="O94" s="10"/>
    </row>
    <row r="95" spans="1:15" s="38" customFormat="1" ht="12" customHeight="1">
      <c r="A95" s="18"/>
      <c r="B95" s="14"/>
      <c r="C95" s="19"/>
      <c r="D95" s="19"/>
      <c r="E95" s="19"/>
      <c r="F95" s="19"/>
      <c r="G95" s="19"/>
      <c r="H95" s="21"/>
      <c r="I95" s="21"/>
      <c r="K95" s="17"/>
      <c r="L95" s="17"/>
      <c r="M95" s="17"/>
      <c r="N95" s="10"/>
      <c r="O95" s="10"/>
    </row>
    <row r="96" spans="1:15" s="38" customFormat="1" ht="12" customHeight="1">
      <c r="A96" s="18"/>
      <c r="B96" s="14"/>
      <c r="C96" s="19"/>
      <c r="D96" s="19"/>
      <c r="E96" s="19"/>
      <c r="F96" s="19"/>
      <c r="G96" s="19"/>
      <c r="H96" s="21"/>
      <c r="I96" s="21"/>
      <c r="K96" s="17"/>
      <c r="L96" s="17"/>
      <c r="M96" s="17"/>
      <c r="N96" s="10"/>
      <c r="O96" s="10"/>
    </row>
    <row r="97" spans="1:15" s="38" customFormat="1" ht="12" customHeight="1">
      <c r="A97" s="18"/>
      <c r="B97" s="14"/>
      <c r="C97" s="19"/>
      <c r="D97" s="19"/>
      <c r="E97" s="19"/>
      <c r="F97" s="19"/>
      <c r="G97" s="19"/>
      <c r="H97" s="21"/>
      <c r="I97" s="21"/>
      <c r="K97" s="17"/>
      <c r="L97" s="17"/>
      <c r="M97" s="17"/>
      <c r="N97" s="10"/>
      <c r="O97" s="10"/>
    </row>
    <row r="98" spans="1:15" s="38" customFormat="1" ht="12" customHeight="1">
      <c r="A98" s="18"/>
      <c r="B98" s="14"/>
      <c r="C98" s="19"/>
      <c r="D98" s="19"/>
      <c r="E98" s="19"/>
      <c r="F98" s="19"/>
      <c r="G98" s="19"/>
      <c r="H98" s="21"/>
      <c r="I98" s="21"/>
      <c r="K98" s="17"/>
      <c r="L98" s="17"/>
      <c r="M98" s="17"/>
      <c r="N98" s="10"/>
      <c r="O98" s="10"/>
    </row>
    <row r="99" spans="1:15" s="38" customFormat="1" ht="12" customHeight="1">
      <c r="A99" s="18"/>
      <c r="B99" s="14"/>
      <c r="C99" s="19"/>
      <c r="D99" s="19"/>
      <c r="E99" s="19"/>
      <c r="F99" s="19"/>
      <c r="G99" s="19"/>
      <c r="H99" s="21"/>
      <c r="I99" s="21"/>
      <c r="K99" s="17"/>
      <c r="L99" s="17"/>
      <c r="M99" s="17"/>
      <c r="N99" s="10"/>
      <c r="O99" s="10"/>
    </row>
    <row r="100" spans="1:15" s="38" customFormat="1" ht="12" customHeight="1">
      <c r="A100" s="18"/>
      <c r="B100" s="14"/>
      <c r="C100" s="19"/>
      <c r="D100" s="19"/>
      <c r="E100" s="19"/>
      <c r="F100" s="19"/>
      <c r="G100" s="19"/>
      <c r="H100" s="21"/>
      <c r="I100" s="21"/>
      <c r="K100" s="17"/>
      <c r="L100" s="17"/>
      <c r="M100" s="17"/>
      <c r="N100" s="10"/>
      <c r="O100" s="10"/>
    </row>
    <row r="101" spans="1:15" s="38" customFormat="1" ht="12" customHeight="1">
      <c r="A101" s="18"/>
      <c r="B101" s="14"/>
      <c r="C101" s="19"/>
      <c r="D101" s="19"/>
      <c r="E101" s="19"/>
      <c r="F101" s="19"/>
      <c r="G101" s="19"/>
      <c r="H101" s="21"/>
      <c r="I101" s="21"/>
      <c r="K101" s="17"/>
      <c r="L101" s="17"/>
      <c r="M101" s="17"/>
      <c r="N101" s="10"/>
      <c r="O101" s="10"/>
    </row>
    <row r="102" spans="1:15" s="38" customFormat="1" ht="12" customHeight="1">
      <c r="A102" s="18"/>
      <c r="B102" s="14"/>
      <c r="C102" s="19"/>
      <c r="D102" s="19"/>
      <c r="E102" s="19"/>
      <c r="F102" s="19"/>
      <c r="G102" s="19"/>
      <c r="H102" s="21"/>
      <c r="I102" s="21"/>
      <c r="K102" s="17"/>
      <c r="L102" s="17"/>
      <c r="M102" s="17"/>
      <c r="N102" s="10"/>
      <c r="O102" s="10"/>
    </row>
    <row r="103" spans="1:15" s="38" customFormat="1" ht="12" customHeight="1">
      <c r="A103" s="18"/>
      <c r="B103" s="14"/>
      <c r="C103" s="19"/>
      <c r="D103" s="19"/>
      <c r="E103" s="19"/>
      <c r="F103" s="19"/>
      <c r="G103" s="19"/>
      <c r="H103" s="21"/>
      <c r="I103" s="21"/>
      <c r="K103" s="17"/>
      <c r="L103" s="17"/>
      <c r="M103" s="17"/>
      <c r="N103" s="10"/>
      <c r="O103" s="10"/>
    </row>
    <row r="104" spans="1:15" s="38" customFormat="1" ht="12" customHeight="1">
      <c r="A104" s="18"/>
      <c r="B104" s="14"/>
      <c r="C104" s="19"/>
      <c r="D104" s="19"/>
      <c r="E104" s="19"/>
      <c r="F104" s="19"/>
      <c r="G104" s="19"/>
      <c r="H104" s="21"/>
      <c r="I104" s="21"/>
      <c r="K104" s="17"/>
      <c r="L104" s="17"/>
      <c r="M104" s="17"/>
      <c r="N104" s="10"/>
      <c r="O104" s="10"/>
    </row>
    <row r="105" spans="1:15" s="38" customFormat="1" ht="12" customHeight="1">
      <c r="A105" s="18"/>
      <c r="B105" s="14"/>
      <c r="C105" s="19"/>
      <c r="D105" s="19"/>
      <c r="E105" s="19"/>
      <c r="F105" s="19"/>
      <c r="G105" s="19"/>
      <c r="H105" s="21"/>
      <c r="I105" s="21"/>
      <c r="K105" s="17"/>
      <c r="L105" s="17"/>
      <c r="M105" s="17"/>
      <c r="N105" s="10"/>
      <c r="O105" s="10"/>
    </row>
    <row r="106" spans="1:15" s="38" customFormat="1" ht="12" customHeight="1">
      <c r="A106" s="18"/>
      <c r="B106" s="14"/>
      <c r="C106" s="19"/>
      <c r="D106" s="19"/>
      <c r="E106" s="19"/>
      <c r="F106" s="19"/>
      <c r="G106" s="19"/>
      <c r="H106" s="21"/>
      <c r="I106" s="21"/>
      <c r="K106" s="17"/>
      <c r="L106" s="17"/>
      <c r="M106" s="17"/>
      <c r="N106" s="10"/>
      <c r="O106" s="10"/>
    </row>
    <row r="107" spans="1:15" s="38" customFormat="1" ht="12" customHeight="1">
      <c r="A107" s="18"/>
      <c r="B107" s="14"/>
      <c r="C107" s="19"/>
      <c r="D107" s="19"/>
      <c r="E107" s="19"/>
      <c r="F107" s="19"/>
      <c r="G107" s="19"/>
      <c r="H107" s="21"/>
      <c r="I107" s="21"/>
      <c r="K107" s="17"/>
      <c r="L107" s="17"/>
      <c r="M107" s="17"/>
      <c r="N107" s="10"/>
      <c r="O107" s="10"/>
    </row>
    <row r="108" spans="1:15" s="38" customFormat="1" ht="12" customHeight="1">
      <c r="A108" s="18"/>
      <c r="B108" s="14"/>
      <c r="C108" s="19"/>
      <c r="D108" s="19"/>
      <c r="E108" s="19"/>
      <c r="F108" s="19"/>
      <c r="G108" s="19"/>
      <c r="H108" s="21"/>
      <c r="I108" s="21"/>
      <c r="K108" s="17"/>
      <c r="L108" s="17"/>
      <c r="M108" s="17"/>
      <c r="N108" s="10"/>
      <c r="O108" s="10"/>
    </row>
    <row r="109" spans="1:15" s="38" customFormat="1" ht="12" customHeight="1">
      <c r="A109" s="18"/>
      <c r="B109" s="14"/>
      <c r="C109" s="19"/>
      <c r="D109" s="19"/>
      <c r="E109" s="19"/>
      <c r="F109" s="19"/>
      <c r="G109" s="19"/>
      <c r="H109" s="21"/>
      <c r="I109" s="21"/>
      <c r="K109" s="17"/>
      <c r="L109" s="17"/>
      <c r="M109" s="17"/>
      <c r="N109" s="10"/>
      <c r="O109" s="10"/>
    </row>
    <row r="110" spans="1:15" s="38" customFormat="1" ht="12" customHeight="1">
      <c r="A110" s="18"/>
      <c r="B110" s="14"/>
      <c r="C110" s="19"/>
      <c r="D110" s="19"/>
      <c r="E110" s="19"/>
      <c r="F110" s="19"/>
      <c r="G110" s="19"/>
      <c r="H110" s="21"/>
      <c r="I110" s="21"/>
      <c r="K110" s="17"/>
      <c r="L110" s="17"/>
      <c r="M110" s="17"/>
      <c r="N110" s="10"/>
      <c r="O110" s="10"/>
    </row>
    <row r="111" spans="1:15" s="38" customFormat="1" ht="12" customHeight="1">
      <c r="A111" s="18"/>
      <c r="B111" s="14"/>
      <c r="C111" s="19"/>
      <c r="D111" s="19"/>
      <c r="E111" s="19"/>
      <c r="F111" s="19"/>
      <c r="G111" s="19"/>
      <c r="H111" s="21"/>
      <c r="I111" s="21"/>
      <c r="K111" s="17"/>
      <c r="L111" s="17"/>
      <c r="M111" s="17"/>
      <c r="N111" s="10"/>
      <c r="O111" s="10"/>
    </row>
    <row r="112" spans="1:15" s="38" customFormat="1" ht="12" customHeight="1">
      <c r="A112" s="18"/>
      <c r="B112" s="14"/>
      <c r="C112" s="19"/>
      <c r="D112" s="19"/>
      <c r="E112" s="19"/>
      <c r="F112" s="19"/>
      <c r="G112" s="19"/>
      <c r="H112" s="21"/>
      <c r="I112" s="21"/>
      <c r="K112" s="17"/>
      <c r="L112" s="17"/>
      <c r="M112" s="17"/>
      <c r="N112" s="10"/>
      <c r="O112" s="10"/>
    </row>
    <row r="113" spans="1:15" s="38" customFormat="1" ht="12" customHeight="1">
      <c r="A113" s="18"/>
      <c r="B113" s="14"/>
      <c r="C113" s="19"/>
      <c r="D113" s="19"/>
      <c r="E113" s="19"/>
      <c r="F113" s="19"/>
      <c r="G113" s="19"/>
      <c r="H113" s="21"/>
      <c r="I113" s="21"/>
      <c r="K113" s="17"/>
      <c r="L113" s="17"/>
      <c r="M113" s="17"/>
      <c r="N113" s="10"/>
      <c r="O113" s="10"/>
    </row>
    <row r="114" spans="1:15" s="38" customFormat="1" ht="12" customHeight="1">
      <c r="A114" s="18"/>
      <c r="B114" s="14"/>
      <c r="C114" s="19"/>
      <c r="D114" s="19"/>
      <c r="E114" s="19"/>
      <c r="F114" s="19"/>
      <c r="G114" s="19"/>
      <c r="H114" s="21"/>
      <c r="I114" s="21"/>
      <c r="K114" s="17"/>
      <c r="L114" s="17"/>
      <c r="M114" s="17"/>
      <c r="N114" s="10"/>
      <c r="O114" s="10"/>
    </row>
    <row r="115" spans="1:15" s="38" customFormat="1" ht="12" customHeight="1">
      <c r="A115" s="18"/>
      <c r="B115" s="14"/>
      <c r="C115" s="19"/>
      <c r="D115" s="19"/>
      <c r="E115" s="19"/>
      <c r="F115" s="19"/>
      <c r="G115" s="19"/>
      <c r="H115" s="21"/>
      <c r="I115" s="21"/>
      <c r="K115" s="17"/>
      <c r="L115" s="17"/>
      <c r="M115" s="17"/>
      <c r="N115" s="10"/>
      <c r="O115" s="10"/>
    </row>
    <row r="116" spans="1:15" s="38" customFormat="1" ht="12" customHeight="1">
      <c r="A116" s="18"/>
      <c r="B116" s="14"/>
      <c r="C116" s="19"/>
      <c r="D116" s="19"/>
      <c r="E116" s="19"/>
      <c r="F116" s="19"/>
      <c r="G116" s="19"/>
      <c r="H116" s="21"/>
      <c r="I116" s="21"/>
      <c r="K116" s="17"/>
      <c r="L116" s="17"/>
      <c r="M116" s="17"/>
      <c r="N116" s="10"/>
      <c r="O116" s="10"/>
    </row>
    <row r="117" spans="1:15" s="38" customFormat="1" ht="12" customHeight="1">
      <c r="A117" s="18"/>
      <c r="B117" s="14"/>
      <c r="C117" s="19"/>
      <c r="D117" s="19"/>
      <c r="E117" s="19"/>
      <c r="F117" s="19"/>
      <c r="G117" s="19"/>
      <c r="H117" s="21"/>
      <c r="I117" s="21"/>
      <c r="K117" s="17"/>
      <c r="L117" s="17"/>
      <c r="M117" s="17"/>
      <c r="N117" s="10"/>
      <c r="O117" s="10"/>
    </row>
    <row r="118" spans="1:15" s="38" customFormat="1" ht="12" customHeight="1">
      <c r="A118" s="18"/>
      <c r="B118" s="14"/>
      <c r="C118" s="19"/>
      <c r="D118" s="19"/>
      <c r="E118" s="19"/>
      <c r="F118" s="19"/>
      <c r="G118" s="19"/>
      <c r="H118" s="21"/>
      <c r="I118" s="21"/>
      <c r="K118" s="17"/>
      <c r="L118" s="17"/>
      <c r="M118" s="17"/>
      <c r="N118" s="10"/>
      <c r="O118" s="10"/>
    </row>
    <row r="119" spans="1:15" s="38" customFormat="1" ht="12" customHeight="1">
      <c r="A119" s="18"/>
      <c r="B119" s="14"/>
      <c r="C119" s="19"/>
      <c r="D119" s="19"/>
      <c r="E119" s="19"/>
      <c r="F119" s="19"/>
      <c r="G119" s="19"/>
      <c r="H119" s="21"/>
      <c r="I119" s="21"/>
      <c r="K119" s="17"/>
      <c r="L119" s="17"/>
      <c r="M119" s="17"/>
      <c r="N119" s="10"/>
      <c r="O119" s="10"/>
    </row>
    <row r="120" spans="1:15" s="38" customFormat="1" ht="12" customHeight="1">
      <c r="A120" s="18"/>
      <c r="B120" s="14"/>
      <c r="C120" s="19"/>
      <c r="D120" s="19"/>
      <c r="E120" s="19"/>
      <c r="F120" s="19"/>
      <c r="G120" s="19"/>
      <c r="H120" s="21"/>
      <c r="I120" s="21"/>
      <c r="K120" s="17"/>
      <c r="L120" s="17"/>
      <c r="M120" s="17"/>
      <c r="N120" s="10"/>
      <c r="O120" s="10"/>
    </row>
    <row r="121" spans="1:15" s="38" customFormat="1" ht="12" customHeight="1">
      <c r="A121" s="18"/>
      <c r="B121" s="14"/>
      <c r="C121" s="19"/>
      <c r="D121" s="19"/>
      <c r="E121" s="19"/>
      <c r="F121" s="19"/>
      <c r="G121" s="19"/>
      <c r="H121" s="21"/>
      <c r="I121" s="21"/>
      <c r="K121" s="17"/>
      <c r="L121" s="17"/>
      <c r="M121" s="17"/>
      <c r="N121" s="10"/>
      <c r="O121" s="10"/>
    </row>
    <row r="122" spans="1:15" s="38" customFormat="1" ht="12" customHeight="1">
      <c r="A122" s="18"/>
      <c r="B122" s="14"/>
      <c r="C122" s="19"/>
      <c r="D122" s="19"/>
      <c r="E122" s="19"/>
      <c r="F122" s="19"/>
      <c r="G122" s="19"/>
      <c r="H122" s="21"/>
      <c r="I122" s="21"/>
      <c r="K122" s="17"/>
      <c r="L122" s="17"/>
      <c r="M122" s="17"/>
      <c r="N122" s="10"/>
      <c r="O122" s="10"/>
    </row>
    <row r="123" spans="1:15" s="38" customFormat="1" ht="12" customHeight="1">
      <c r="A123" s="18"/>
      <c r="B123" s="14"/>
      <c r="C123" s="19"/>
      <c r="D123" s="19"/>
      <c r="E123" s="19"/>
      <c r="F123" s="19"/>
      <c r="G123" s="19"/>
      <c r="H123" s="21"/>
      <c r="I123" s="21"/>
      <c r="K123" s="17"/>
      <c r="L123" s="17"/>
      <c r="M123" s="17"/>
      <c r="N123" s="10"/>
      <c r="O123" s="10"/>
    </row>
  </sheetData>
  <mergeCells count="16">
    <mergeCell ref="E4:E5"/>
    <mergeCell ref="B9:M9"/>
    <mergeCell ref="B16:M16"/>
    <mergeCell ref="O4:O5"/>
    <mergeCell ref="N4:N5"/>
    <mergeCell ref="A7:M7"/>
    <mergeCell ref="A8:M8"/>
    <mergeCell ref="F4:G4"/>
    <mergeCell ref="H4:J4"/>
    <mergeCell ref="K4:K5"/>
    <mergeCell ref="L4:L5"/>
    <mergeCell ref="A4:A5"/>
    <mergeCell ref="M4:M5"/>
    <mergeCell ref="B4:B5"/>
    <mergeCell ref="C4:C5"/>
    <mergeCell ref="D4:D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4"/>
  <sheetViews>
    <sheetView view="pageBreakPreview" zoomScaleNormal="85" zoomScaleSheetLayoutView="100" workbookViewId="0">
      <pane xSplit="3" topLeftCell="D1" activePane="topRight" state="frozen"/>
      <selection activeCell="B6" sqref="B6"/>
      <selection pane="topRight" activeCell="A2" sqref="A2"/>
    </sheetView>
  </sheetViews>
  <sheetFormatPr defaultRowHeight="12" customHeight="1"/>
  <cols>
    <col min="1" max="1" width="4.33203125" style="18" bestFit="1" customWidth="1"/>
    <col min="2" max="2" width="28.88671875" style="14" customWidth="1"/>
    <col min="3" max="3" width="28.5546875" style="14" customWidth="1"/>
    <col min="4" max="4" width="10.5546875" style="14" customWidth="1"/>
    <col min="5" max="5" width="9.664062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1" width="9.5546875" style="17" bestFit="1" customWidth="1"/>
    <col min="12" max="12" width="8.44140625" style="17" customWidth="1"/>
    <col min="13" max="13" width="7.88671875" style="17" customWidth="1"/>
    <col min="14" max="14" width="8.88671875" style="10"/>
    <col min="15" max="15" width="9.77734375" style="10" customWidth="1"/>
    <col min="16" max="16384" width="8.88671875" style="10"/>
  </cols>
  <sheetData>
    <row r="1" spans="1:16" s="7" customFormat="1" ht="50.1" customHeight="1">
      <c r="A1" s="95"/>
      <c r="B1" s="724" t="s">
        <v>696</v>
      </c>
      <c r="C1" s="98" t="s">
        <v>572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51" customFormat="1" ht="9.9499999999999993" customHeight="1">
      <c r="A2" s="132"/>
      <c r="B2" s="132"/>
      <c r="C2" s="132"/>
      <c r="D2" s="132"/>
      <c r="E2" s="132"/>
      <c r="F2" s="132"/>
      <c r="G2" s="132"/>
      <c r="H2" s="132"/>
      <c r="I2" s="50"/>
      <c r="J2" s="50"/>
      <c r="K2" s="50"/>
      <c r="L2" s="50"/>
      <c r="M2" s="50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57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6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4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4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4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4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4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6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pans="1:13" s="36" customFormat="1" ht="20.100000000000001" customHeight="1">
      <c r="A17" s="73"/>
      <c r="B17" s="35"/>
      <c r="C17" s="35"/>
      <c r="D17" s="35"/>
      <c r="E17" s="35"/>
      <c r="F17" s="35"/>
      <c r="G17" s="35"/>
      <c r="J17" s="97"/>
      <c r="K17" s="37"/>
      <c r="L17" s="37"/>
      <c r="M17" s="37"/>
    </row>
    <row r="18" spans="1:13" s="36" customFormat="1" ht="20.100000000000001" customHeight="1">
      <c r="A18" s="73"/>
      <c r="B18" s="39"/>
      <c r="C18" s="39"/>
      <c r="D18" s="39"/>
      <c r="E18" s="39"/>
      <c r="F18" s="35"/>
      <c r="G18" s="35"/>
      <c r="J18" s="97"/>
      <c r="K18" s="37"/>
      <c r="L18" s="37"/>
      <c r="M18" s="37"/>
    </row>
    <row r="19" spans="1:13" s="36" customFormat="1" ht="20.100000000000001" customHeight="1">
      <c r="B19" s="39"/>
      <c r="C19" s="39"/>
      <c r="D19" s="39"/>
      <c r="E19" s="39"/>
      <c r="F19" s="35"/>
      <c r="G19" s="35"/>
      <c r="J19" s="97"/>
      <c r="K19" s="37"/>
      <c r="L19" s="37"/>
      <c r="M19" s="37"/>
    </row>
    <row r="20" spans="1:13" s="36" customFormat="1" ht="20.100000000000001" customHeight="1">
      <c r="B20" s="39"/>
      <c r="C20" s="39"/>
      <c r="D20" s="39"/>
      <c r="E20" s="39"/>
      <c r="F20" s="35"/>
      <c r="G20" s="35"/>
      <c r="J20" s="97"/>
      <c r="K20" s="37"/>
      <c r="L20" s="37"/>
      <c r="M20" s="37"/>
    </row>
    <row r="21" spans="1:13" s="57" customFormat="1" ht="20.100000000000001" customHeight="1">
      <c r="A21" s="35"/>
      <c r="B21" s="35"/>
      <c r="C21" s="35"/>
      <c r="D21" s="35"/>
      <c r="E21" s="35"/>
      <c r="F21" s="58"/>
      <c r="G21" s="58"/>
      <c r="H21" s="36"/>
      <c r="I21" s="36"/>
      <c r="J21" s="69"/>
      <c r="K21" s="59"/>
      <c r="L21" s="59"/>
      <c r="M21" s="59"/>
    </row>
    <row r="22" spans="1:13" s="57" customFormat="1" ht="20.100000000000001" customHeight="1">
      <c r="A22" s="708"/>
      <c r="B22" s="58"/>
      <c r="C22" s="58"/>
      <c r="D22" s="58"/>
      <c r="E22" s="58"/>
      <c r="F22" s="709"/>
      <c r="G22" s="709"/>
      <c r="H22" s="36"/>
      <c r="I22" s="36"/>
      <c r="J22" s="710"/>
      <c r="K22" s="59"/>
      <c r="L22" s="59"/>
      <c r="M22" s="59"/>
    </row>
    <row r="23" spans="1:13" s="57" customFormat="1" ht="15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59"/>
      <c r="L23" s="59"/>
      <c r="M23" s="59"/>
    </row>
    <row r="24" spans="1:13" s="57" customFormat="1" ht="15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59"/>
      <c r="L24" s="59"/>
      <c r="M24" s="59"/>
    </row>
    <row r="25" spans="1:13" s="57" customFormat="1" ht="12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59"/>
      <c r="L25" s="59"/>
      <c r="M25" s="59"/>
    </row>
    <row r="26" spans="1:13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59"/>
      <c r="L26" s="59"/>
      <c r="M26" s="59"/>
    </row>
    <row r="27" spans="1:13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59"/>
      <c r="L27" s="59"/>
      <c r="M27" s="59"/>
    </row>
    <row r="28" spans="1:13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59"/>
      <c r="L28" s="59"/>
      <c r="M28" s="59"/>
    </row>
    <row r="29" spans="1:13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59"/>
      <c r="L29" s="59"/>
      <c r="M29" s="59"/>
    </row>
    <row r="30" spans="1:13" s="57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J30" s="710"/>
      <c r="K30" s="59"/>
      <c r="L30" s="59"/>
      <c r="M30" s="59"/>
    </row>
    <row r="31" spans="1:13" s="57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J31" s="710"/>
      <c r="K31" s="59"/>
      <c r="L31" s="59"/>
      <c r="M31" s="59"/>
    </row>
    <row r="32" spans="1:13" s="57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J32" s="710"/>
      <c r="K32" s="59"/>
      <c r="L32" s="59"/>
      <c r="M32" s="59"/>
    </row>
    <row r="33" spans="1:15" s="57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J33" s="710"/>
      <c r="K33" s="59"/>
      <c r="L33" s="59"/>
      <c r="M33" s="59"/>
    </row>
    <row r="34" spans="1:15" s="57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J34" s="710"/>
      <c r="K34" s="59"/>
      <c r="L34" s="59"/>
      <c r="M34" s="59"/>
    </row>
    <row r="35" spans="1:15" s="57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J35" s="710"/>
      <c r="K35" s="59"/>
      <c r="L35" s="59"/>
      <c r="M35" s="59"/>
    </row>
    <row r="36" spans="1:15" s="710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K36" s="59"/>
      <c r="L36" s="59"/>
      <c r="M36" s="59"/>
      <c r="N36" s="57"/>
      <c r="O36" s="57"/>
    </row>
    <row r="37" spans="1:15" s="710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K37" s="59"/>
      <c r="L37" s="59"/>
      <c r="M37" s="59"/>
      <c r="N37" s="57"/>
      <c r="O37" s="57"/>
    </row>
    <row r="38" spans="1:15" s="710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K38" s="59"/>
      <c r="L38" s="59"/>
      <c r="M38" s="59"/>
      <c r="N38" s="57"/>
      <c r="O38" s="57"/>
    </row>
    <row r="39" spans="1:15" s="710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K39" s="59"/>
      <c r="L39" s="59"/>
      <c r="M39" s="59"/>
      <c r="N39" s="57"/>
      <c r="O39" s="57"/>
    </row>
    <row r="40" spans="1:15" s="710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K40" s="59"/>
      <c r="L40" s="59"/>
      <c r="M40" s="59"/>
      <c r="N40" s="57"/>
      <c r="O40" s="57"/>
    </row>
    <row r="41" spans="1:15" s="710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K41" s="59"/>
      <c r="L41" s="59"/>
      <c r="M41" s="59"/>
      <c r="N41" s="57"/>
      <c r="O41" s="57"/>
    </row>
    <row r="42" spans="1:15" s="710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K42" s="59"/>
      <c r="L42" s="59"/>
      <c r="M42" s="59"/>
      <c r="N42" s="57"/>
      <c r="O42" s="57"/>
    </row>
    <row r="43" spans="1:15" s="710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K43" s="59"/>
      <c r="L43" s="59"/>
      <c r="M43" s="59"/>
      <c r="N43" s="57"/>
      <c r="O43" s="57"/>
    </row>
    <row r="44" spans="1:15" s="710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K44" s="59"/>
      <c r="L44" s="59"/>
      <c r="M44" s="59"/>
      <c r="N44" s="57"/>
      <c r="O44" s="57"/>
    </row>
    <row r="45" spans="1:15" s="710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K45" s="59"/>
      <c r="L45" s="59"/>
      <c r="M45" s="59"/>
      <c r="N45" s="57"/>
      <c r="O45" s="57"/>
    </row>
    <row r="46" spans="1:15" s="710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K46" s="59"/>
      <c r="L46" s="59"/>
      <c r="M46" s="59"/>
      <c r="N46" s="57"/>
      <c r="O46" s="57"/>
    </row>
    <row r="47" spans="1:15" s="710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K47" s="59"/>
      <c r="L47" s="59"/>
      <c r="M47" s="59"/>
      <c r="N47" s="57"/>
      <c r="O47" s="57"/>
    </row>
    <row r="48" spans="1:15" s="710" customFormat="1" ht="12" customHeight="1">
      <c r="A48" s="708"/>
      <c r="B48" s="85"/>
      <c r="C48" s="709"/>
      <c r="D48" s="709"/>
      <c r="E48" s="709"/>
      <c r="F48" s="709"/>
      <c r="G48" s="709"/>
      <c r="H48" s="36"/>
      <c r="I48" s="36"/>
      <c r="K48" s="59"/>
      <c r="L48" s="59"/>
      <c r="M48" s="59"/>
      <c r="N48" s="57"/>
      <c r="O48" s="57"/>
    </row>
    <row r="49" spans="1:15" s="710" customFormat="1" ht="12" customHeight="1">
      <c r="A49" s="708"/>
      <c r="B49" s="85"/>
      <c r="C49" s="709"/>
      <c r="D49" s="709"/>
      <c r="E49" s="709"/>
      <c r="F49" s="709"/>
      <c r="G49" s="709"/>
      <c r="H49" s="36"/>
      <c r="I49" s="36"/>
      <c r="K49" s="59"/>
      <c r="L49" s="59"/>
      <c r="M49" s="59"/>
      <c r="N49" s="57"/>
      <c r="O49" s="57"/>
    </row>
    <row r="50" spans="1:15" s="710" customFormat="1" ht="12" customHeight="1">
      <c r="A50" s="708"/>
      <c r="B50" s="85"/>
      <c r="C50" s="709"/>
      <c r="D50" s="709"/>
      <c r="E50" s="709"/>
      <c r="F50" s="709"/>
      <c r="G50" s="709"/>
      <c r="H50" s="36"/>
      <c r="I50" s="36"/>
      <c r="K50" s="59"/>
      <c r="L50" s="59"/>
      <c r="M50" s="59"/>
      <c r="N50" s="57"/>
      <c r="O50" s="57"/>
    </row>
    <row r="51" spans="1:15" s="710" customFormat="1" ht="12" customHeight="1">
      <c r="A51" s="708"/>
      <c r="B51" s="85"/>
      <c r="C51" s="709"/>
      <c r="D51" s="709"/>
      <c r="E51" s="709"/>
      <c r="F51" s="709"/>
      <c r="G51" s="709"/>
      <c r="H51" s="36"/>
      <c r="I51" s="36"/>
      <c r="K51" s="59"/>
      <c r="L51" s="59"/>
      <c r="M51" s="59"/>
      <c r="N51" s="57"/>
      <c r="O51" s="57"/>
    </row>
    <row r="52" spans="1:15" s="710" customFormat="1" ht="12" customHeight="1">
      <c r="A52" s="708"/>
      <c r="B52" s="85"/>
      <c r="C52" s="709"/>
      <c r="D52" s="709"/>
      <c r="E52" s="709"/>
      <c r="F52" s="709"/>
      <c r="G52" s="709"/>
      <c r="H52" s="36"/>
      <c r="I52" s="36"/>
      <c r="K52" s="59"/>
      <c r="L52" s="59"/>
      <c r="M52" s="59"/>
      <c r="N52" s="57"/>
      <c r="O52" s="57"/>
    </row>
    <row r="53" spans="1:15" s="38" customFormat="1" ht="12" customHeight="1">
      <c r="A53" s="18"/>
      <c r="B53" s="14"/>
      <c r="C53" s="19"/>
      <c r="D53" s="19"/>
      <c r="E53" s="19"/>
      <c r="F53" s="19"/>
      <c r="G53" s="19"/>
      <c r="H53" s="21"/>
      <c r="I53" s="21"/>
      <c r="K53" s="17"/>
      <c r="L53" s="17"/>
      <c r="M53" s="17"/>
      <c r="N53" s="10"/>
      <c r="O53" s="10"/>
    </row>
    <row r="54" spans="1:15" s="38" customFormat="1" ht="12" customHeight="1">
      <c r="A54" s="18"/>
      <c r="B54" s="14"/>
      <c r="C54" s="19"/>
      <c r="D54" s="19"/>
      <c r="E54" s="19"/>
      <c r="F54" s="19"/>
      <c r="G54" s="19"/>
      <c r="H54" s="21"/>
      <c r="I54" s="21"/>
      <c r="K54" s="17"/>
      <c r="L54" s="17"/>
      <c r="M54" s="17"/>
      <c r="N54" s="10"/>
      <c r="O54" s="10"/>
    </row>
    <row r="55" spans="1:15" s="38" customFormat="1" ht="12" customHeight="1">
      <c r="A55" s="18"/>
      <c r="B55" s="14"/>
      <c r="C55" s="19"/>
      <c r="D55" s="19"/>
      <c r="E55" s="19"/>
      <c r="F55" s="19"/>
      <c r="G55" s="19"/>
      <c r="H55" s="21"/>
      <c r="I55" s="21"/>
      <c r="K55" s="17"/>
      <c r="L55" s="17"/>
      <c r="M55" s="17"/>
      <c r="N55" s="10"/>
      <c r="O55" s="10"/>
    </row>
    <row r="56" spans="1:15" s="38" customFormat="1" ht="12" customHeight="1">
      <c r="A56" s="18"/>
      <c r="B56" s="14"/>
      <c r="C56" s="19"/>
      <c r="D56" s="19"/>
      <c r="E56" s="19"/>
      <c r="F56" s="19"/>
      <c r="G56" s="19"/>
      <c r="H56" s="21"/>
      <c r="I56" s="21"/>
      <c r="K56" s="17"/>
      <c r="L56" s="17"/>
      <c r="M56" s="17"/>
      <c r="N56" s="10"/>
      <c r="O56" s="10"/>
    </row>
    <row r="57" spans="1:15" s="38" customFormat="1" ht="12" customHeight="1">
      <c r="A57" s="18"/>
      <c r="B57" s="14"/>
      <c r="C57" s="19"/>
      <c r="D57" s="19"/>
      <c r="E57" s="19"/>
      <c r="F57" s="19"/>
      <c r="G57" s="19"/>
      <c r="H57" s="21"/>
      <c r="I57" s="21"/>
      <c r="K57" s="17"/>
      <c r="L57" s="17"/>
      <c r="M57" s="17"/>
      <c r="N57" s="10"/>
      <c r="O57" s="10"/>
    </row>
    <row r="58" spans="1:15" s="38" customFormat="1" ht="12" customHeight="1">
      <c r="A58" s="18"/>
      <c r="B58" s="14"/>
      <c r="C58" s="19"/>
      <c r="D58" s="19"/>
      <c r="E58" s="19"/>
      <c r="F58" s="19"/>
      <c r="G58" s="19"/>
      <c r="H58" s="21"/>
      <c r="I58" s="21"/>
      <c r="K58" s="17"/>
      <c r="L58" s="17"/>
      <c r="M58" s="17"/>
      <c r="N58" s="10"/>
      <c r="O58" s="10"/>
    </row>
    <row r="59" spans="1:15" s="38" customFormat="1" ht="12" customHeight="1">
      <c r="A59" s="18"/>
      <c r="B59" s="14"/>
      <c r="C59" s="19"/>
      <c r="D59" s="19"/>
      <c r="E59" s="19"/>
      <c r="F59" s="19"/>
      <c r="G59" s="19"/>
      <c r="H59" s="21"/>
      <c r="I59" s="21"/>
      <c r="K59" s="17"/>
      <c r="L59" s="17"/>
      <c r="M59" s="17"/>
      <c r="N59" s="10"/>
      <c r="O59" s="10"/>
    </row>
    <row r="60" spans="1:15" s="38" customFormat="1" ht="12" customHeight="1">
      <c r="A60" s="18"/>
      <c r="B60" s="14"/>
      <c r="C60" s="19"/>
      <c r="D60" s="19"/>
      <c r="E60" s="19"/>
      <c r="F60" s="19"/>
      <c r="G60" s="19"/>
      <c r="H60" s="21"/>
      <c r="I60" s="21"/>
      <c r="K60" s="17"/>
      <c r="L60" s="17"/>
      <c r="M60" s="17"/>
      <c r="N60" s="10"/>
      <c r="O60" s="10"/>
    </row>
    <row r="61" spans="1:15" s="38" customFormat="1" ht="12" customHeight="1">
      <c r="A61" s="18"/>
      <c r="B61" s="14"/>
      <c r="C61" s="19"/>
      <c r="D61" s="19"/>
      <c r="E61" s="19"/>
      <c r="F61" s="19"/>
      <c r="G61" s="19"/>
      <c r="H61" s="21"/>
      <c r="I61" s="21"/>
      <c r="K61" s="17"/>
      <c r="L61" s="17"/>
      <c r="M61" s="17"/>
      <c r="N61" s="10"/>
      <c r="O61" s="10"/>
    </row>
    <row r="62" spans="1:15" s="38" customFormat="1" ht="12" customHeight="1">
      <c r="A62" s="18"/>
      <c r="B62" s="14"/>
      <c r="C62" s="19"/>
      <c r="D62" s="19"/>
      <c r="E62" s="19"/>
      <c r="F62" s="19"/>
      <c r="G62" s="19"/>
      <c r="H62" s="21"/>
      <c r="I62" s="21"/>
      <c r="K62" s="17"/>
      <c r="L62" s="17"/>
      <c r="M62" s="17"/>
      <c r="N62" s="10"/>
      <c r="O62" s="10"/>
    </row>
    <row r="63" spans="1:15" s="38" customFormat="1" ht="12" customHeight="1">
      <c r="A63" s="18"/>
      <c r="B63" s="14"/>
      <c r="C63" s="19"/>
      <c r="D63" s="19"/>
      <c r="E63" s="19"/>
      <c r="F63" s="19"/>
      <c r="G63" s="19"/>
      <c r="H63" s="21"/>
      <c r="I63" s="21"/>
      <c r="K63" s="17"/>
      <c r="L63" s="17"/>
      <c r="M63" s="17"/>
      <c r="N63" s="10"/>
      <c r="O63" s="10"/>
    </row>
    <row r="64" spans="1:15" s="38" customFormat="1" ht="12" customHeight="1">
      <c r="A64" s="18"/>
      <c r="B64" s="14"/>
      <c r="C64" s="19"/>
      <c r="D64" s="19"/>
      <c r="E64" s="19"/>
      <c r="F64" s="19"/>
      <c r="G64" s="19"/>
      <c r="H64" s="21"/>
      <c r="I64" s="21"/>
      <c r="K64" s="17"/>
      <c r="L64" s="17"/>
      <c r="M64" s="17"/>
      <c r="N64" s="10"/>
      <c r="O64" s="10"/>
    </row>
    <row r="65" spans="1:15" s="38" customFormat="1" ht="12" customHeight="1">
      <c r="A65" s="18"/>
      <c r="B65" s="14"/>
      <c r="C65" s="19"/>
      <c r="D65" s="19"/>
      <c r="E65" s="19"/>
      <c r="F65" s="19"/>
      <c r="G65" s="19"/>
      <c r="H65" s="21"/>
      <c r="I65" s="21"/>
      <c r="K65" s="17"/>
      <c r="L65" s="17"/>
      <c r="M65" s="17"/>
      <c r="N65" s="10"/>
      <c r="O65" s="10"/>
    </row>
    <row r="66" spans="1:15" s="38" customFormat="1" ht="12" customHeight="1">
      <c r="A66" s="18"/>
      <c r="B66" s="14"/>
      <c r="C66" s="19"/>
      <c r="D66" s="19"/>
      <c r="E66" s="19"/>
      <c r="F66" s="19"/>
      <c r="G66" s="19"/>
      <c r="H66" s="21"/>
      <c r="I66" s="21"/>
      <c r="K66" s="17"/>
      <c r="L66" s="17"/>
      <c r="M66" s="17"/>
      <c r="N66" s="10"/>
      <c r="O66" s="10"/>
    </row>
    <row r="67" spans="1:15" s="38" customFormat="1" ht="12" customHeight="1">
      <c r="A67" s="18"/>
      <c r="B67" s="14"/>
      <c r="C67" s="19"/>
      <c r="D67" s="19"/>
      <c r="E67" s="19"/>
      <c r="F67" s="19"/>
      <c r="G67" s="19"/>
      <c r="H67" s="21"/>
      <c r="I67" s="21"/>
      <c r="K67" s="17"/>
      <c r="L67" s="17"/>
      <c r="M67" s="17"/>
      <c r="N67" s="10"/>
      <c r="O67" s="10"/>
    </row>
    <row r="68" spans="1:15" s="38" customFormat="1" ht="12" customHeight="1">
      <c r="A68" s="18"/>
      <c r="B68" s="14"/>
      <c r="C68" s="19"/>
      <c r="D68" s="19"/>
      <c r="E68" s="19"/>
      <c r="F68" s="19"/>
      <c r="G68" s="19"/>
      <c r="H68" s="21"/>
      <c r="I68" s="21"/>
      <c r="K68" s="17"/>
      <c r="L68" s="17"/>
      <c r="M68" s="17"/>
      <c r="N68" s="10"/>
      <c r="O68" s="10"/>
    </row>
    <row r="69" spans="1:15" s="38" customFormat="1" ht="12" customHeight="1">
      <c r="A69" s="18"/>
      <c r="B69" s="14"/>
      <c r="C69" s="19"/>
      <c r="D69" s="19"/>
      <c r="E69" s="19"/>
      <c r="F69" s="19"/>
      <c r="G69" s="19"/>
      <c r="H69" s="21"/>
      <c r="I69" s="21"/>
      <c r="K69" s="17"/>
      <c r="L69" s="17"/>
      <c r="M69" s="17"/>
      <c r="N69" s="10"/>
      <c r="O69" s="10"/>
    </row>
    <row r="70" spans="1:15" s="38" customFormat="1" ht="12" customHeight="1">
      <c r="A70" s="18"/>
      <c r="B70" s="14"/>
      <c r="C70" s="19"/>
      <c r="D70" s="19"/>
      <c r="E70" s="19"/>
      <c r="F70" s="19"/>
      <c r="G70" s="19"/>
      <c r="H70" s="21"/>
      <c r="I70" s="21"/>
      <c r="K70" s="17"/>
      <c r="L70" s="17"/>
      <c r="M70" s="17"/>
      <c r="N70" s="10"/>
      <c r="O70" s="10"/>
    </row>
    <row r="71" spans="1:15" s="38" customFormat="1" ht="12" customHeight="1">
      <c r="A71" s="18"/>
      <c r="B71" s="14"/>
      <c r="C71" s="19"/>
      <c r="D71" s="19"/>
      <c r="E71" s="19"/>
      <c r="F71" s="19"/>
      <c r="G71" s="19"/>
      <c r="H71" s="21"/>
      <c r="I71" s="21"/>
      <c r="K71" s="17"/>
      <c r="L71" s="17"/>
      <c r="M71" s="17"/>
      <c r="N71" s="10"/>
      <c r="O71" s="10"/>
    </row>
    <row r="72" spans="1:15" s="38" customFormat="1" ht="12" customHeight="1">
      <c r="A72" s="18"/>
      <c r="B72" s="14"/>
      <c r="C72" s="19"/>
      <c r="D72" s="19"/>
      <c r="E72" s="19"/>
      <c r="F72" s="19"/>
      <c r="G72" s="19"/>
      <c r="H72" s="21"/>
      <c r="I72" s="21"/>
      <c r="K72" s="17"/>
      <c r="L72" s="17"/>
      <c r="M72" s="17"/>
      <c r="N72" s="10"/>
      <c r="O72" s="10"/>
    </row>
    <row r="73" spans="1:15" s="38" customFormat="1" ht="12" customHeight="1">
      <c r="A73" s="18"/>
      <c r="B73" s="14"/>
      <c r="C73" s="19"/>
      <c r="D73" s="19"/>
      <c r="E73" s="19"/>
      <c r="F73" s="19"/>
      <c r="G73" s="19"/>
      <c r="H73" s="21"/>
      <c r="I73" s="21"/>
      <c r="K73" s="17"/>
      <c r="L73" s="17"/>
      <c r="M73" s="17"/>
      <c r="N73" s="10"/>
      <c r="O73" s="10"/>
    </row>
    <row r="74" spans="1:15" s="38" customFormat="1" ht="12" customHeight="1">
      <c r="A74" s="18"/>
      <c r="B74" s="14"/>
      <c r="C74" s="19"/>
      <c r="D74" s="19"/>
      <c r="E74" s="19"/>
      <c r="F74" s="19"/>
      <c r="G74" s="19"/>
      <c r="H74" s="21"/>
      <c r="I74" s="21"/>
      <c r="K74" s="17"/>
      <c r="L74" s="17"/>
      <c r="M74" s="17"/>
      <c r="N74" s="10"/>
      <c r="O74" s="10"/>
    </row>
    <row r="75" spans="1:15" s="38" customFormat="1" ht="12" customHeight="1">
      <c r="A75" s="18"/>
      <c r="B75" s="14"/>
      <c r="C75" s="19"/>
      <c r="D75" s="19"/>
      <c r="E75" s="19"/>
      <c r="F75" s="19"/>
      <c r="G75" s="19"/>
      <c r="H75" s="21"/>
      <c r="I75" s="21"/>
      <c r="K75" s="17"/>
      <c r="L75" s="17"/>
      <c r="M75" s="17"/>
      <c r="N75" s="10"/>
      <c r="O75" s="10"/>
    </row>
    <row r="76" spans="1:15" s="38" customFormat="1" ht="12" customHeight="1">
      <c r="A76" s="18"/>
      <c r="B76" s="14"/>
      <c r="C76" s="19"/>
      <c r="D76" s="19"/>
      <c r="E76" s="19"/>
      <c r="F76" s="19"/>
      <c r="G76" s="19"/>
      <c r="H76" s="21"/>
      <c r="I76" s="21"/>
      <c r="K76" s="17"/>
      <c r="L76" s="17"/>
      <c r="M76" s="17"/>
      <c r="N76" s="10"/>
      <c r="O76" s="10"/>
    </row>
    <row r="77" spans="1:15" s="38" customFormat="1" ht="12" customHeight="1">
      <c r="A77" s="18"/>
      <c r="B77" s="14"/>
      <c r="C77" s="19"/>
      <c r="D77" s="19"/>
      <c r="E77" s="19"/>
      <c r="F77" s="19"/>
      <c r="G77" s="19"/>
      <c r="H77" s="21"/>
      <c r="I77" s="21"/>
      <c r="K77" s="17"/>
      <c r="L77" s="17"/>
      <c r="M77" s="17"/>
      <c r="N77" s="10"/>
      <c r="O77" s="10"/>
    </row>
    <row r="78" spans="1:15" s="38" customFormat="1" ht="12" customHeight="1">
      <c r="A78" s="18"/>
      <c r="B78" s="14"/>
      <c r="C78" s="19"/>
      <c r="D78" s="19"/>
      <c r="E78" s="19"/>
      <c r="F78" s="19"/>
      <c r="G78" s="19"/>
      <c r="H78" s="21"/>
      <c r="I78" s="21"/>
      <c r="K78" s="17"/>
      <c r="L78" s="17"/>
      <c r="M78" s="17"/>
      <c r="N78" s="10"/>
      <c r="O78" s="10"/>
    </row>
    <row r="79" spans="1:15" s="38" customFormat="1" ht="12" customHeight="1">
      <c r="A79" s="18"/>
      <c r="B79" s="14"/>
      <c r="C79" s="19"/>
      <c r="D79" s="19"/>
      <c r="E79" s="19"/>
      <c r="F79" s="19"/>
      <c r="G79" s="19"/>
      <c r="H79" s="21"/>
      <c r="I79" s="21"/>
      <c r="K79" s="17"/>
      <c r="L79" s="17"/>
      <c r="M79" s="17"/>
      <c r="N79" s="10"/>
      <c r="O79" s="10"/>
    </row>
    <row r="80" spans="1:15" s="38" customFormat="1" ht="12" customHeight="1">
      <c r="A80" s="18"/>
      <c r="B80" s="14"/>
      <c r="C80" s="19"/>
      <c r="D80" s="19"/>
      <c r="E80" s="19"/>
      <c r="F80" s="19"/>
      <c r="G80" s="19"/>
      <c r="H80" s="21"/>
      <c r="I80" s="21"/>
      <c r="K80" s="17"/>
      <c r="L80" s="17"/>
      <c r="M80" s="17"/>
      <c r="N80" s="10"/>
      <c r="O80" s="10"/>
    </row>
    <row r="81" spans="1:15" s="38" customFormat="1" ht="12" customHeight="1">
      <c r="A81" s="18"/>
      <c r="B81" s="14"/>
      <c r="C81" s="19"/>
      <c r="D81" s="19"/>
      <c r="E81" s="19"/>
      <c r="F81" s="19"/>
      <c r="G81" s="19"/>
      <c r="H81" s="21"/>
      <c r="I81" s="21"/>
      <c r="K81" s="17"/>
      <c r="L81" s="17"/>
      <c r="M81" s="17"/>
      <c r="N81" s="10"/>
      <c r="O81" s="10"/>
    </row>
    <row r="82" spans="1:15" s="38" customFormat="1" ht="12" customHeight="1">
      <c r="A82" s="18"/>
      <c r="B82" s="14"/>
      <c r="C82" s="19"/>
      <c r="D82" s="19"/>
      <c r="E82" s="19"/>
      <c r="F82" s="19"/>
      <c r="G82" s="19"/>
      <c r="H82" s="21"/>
      <c r="I82" s="21"/>
      <c r="K82" s="17"/>
      <c r="L82" s="17"/>
      <c r="M82" s="17"/>
      <c r="N82" s="10"/>
      <c r="O82" s="10"/>
    </row>
    <row r="83" spans="1:15" s="38" customFormat="1" ht="12" customHeight="1">
      <c r="A83" s="18"/>
      <c r="B83" s="14"/>
      <c r="C83" s="19"/>
      <c r="D83" s="19"/>
      <c r="E83" s="19"/>
      <c r="F83" s="19"/>
      <c r="G83" s="19"/>
      <c r="H83" s="21"/>
      <c r="I83" s="21"/>
      <c r="K83" s="17"/>
      <c r="L83" s="17"/>
      <c r="M83" s="17"/>
      <c r="N83" s="10"/>
      <c r="O83" s="10"/>
    </row>
    <row r="84" spans="1:15" s="38" customFormat="1" ht="12" customHeight="1">
      <c r="A84" s="18"/>
      <c r="B84" s="14"/>
      <c r="C84" s="19"/>
      <c r="D84" s="19"/>
      <c r="E84" s="19"/>
      <c r="F84" s="19"/>
      <c r="G84" s="19"/>
      <c r="H84" s="21"/>
      <c r="I84" s="21"/>
      <c r="K84" s="17"/>
      <c r="L84" s="17"/>
      <c r="M84" s="17"/>
      <c r="N84" s="10"/>
      <c r="O84" s="10"/>
    </row>
    <row r="85" spans="1:15" s="38" customFormat="1" ht="12" customHeight="1">
      <c r="A85" s="18"/>
      <c r="B85" s="14"/>
      <c r="C85" s="19"/>
      <c r="D85" s="19"/>
      <c r="E85" s="19"/>
      <c r="F85" s="19"/>
      <c r="G85" s="19"/>
      <c r="H85" s="21"/>
      <c r="I85" s="21"/>
      <c r="K85" s="17"/>
      <c r="L85" s="17"/>
      <c r="M85" s="17"/>
      <c r="N85" s="10"/>
      <c r="O85" s="10"/>
    </row>
    <row r="86" spans="1:15" s="38" customFormat="1" ht="12" customHeight="1">
      <c r="A86" s="18"/>
      <c r="B86" s="14"/>
      <c r="C86" s="19"/>
      <c r="D86" s="19"/>
      <c r="E86" s="19"/>
      <c r="F86" s="19"/>
      <c r="G86" s="19"/>
      <c r="H86" s="21"/>
      <c r="I86" s="21"/>
      <c r="K86" s="17"/>
      <c r="L86" s="17"/>
      <c r="M86" s="17"/>
      <c r="N86" s="10"/>
      <c r="O86" s="10"/>
    </row>
    <row r="87" spans="1:15" s="38" customFormat="1" ht="12" customHeight="1">
      <c r="A87" s="18"/>
      <c r="B87" s="14"/>
      <c r="C87" s="19"/>
      <c r="D87" s="19"/>
      <c r="E87" s="19"/>
      <c r="F87" s="19"/>
      <c r="G87" s="19"/>
      <c r="H87" s="21"/>
      <c r="I87" s="21"/>
      <c r="K87" s="17"/>
      <c r="L87" s="17"/>
      <c r="M87" s="17"/>
      <c r="N87" s="10"/>
      <c r="O87" s="10"/>
    </row>
    <row r="88" spans="1:15" s="38" customFormat="1" ht="12" customHeight="1">
      <c r="A88" s="18"/>
      <c r="B88" s="14"/>
      <c r="C88" s="19"/>
      <c r="D88" s="19"/>
      <c r="E88" s="19"/>
      <c r="F88" s="19"/>
      <c r="G88" s="19"/>
      <c r="H88" s="21"/>
      <c r="I88" s="21"/>
      <c r="K88" s="17"/>
      <c r="L88" s="17"/>
      <c r="M88" s="17"/>
      <c r="N88" s="10"/>
      <c r="O88" s="10"/>
    </row>
    <row r="89" spans="1:15" s="38" customFormat="1" ht="12" customHeight="1">
      <c r="A89" s="18"/>
      <c r="B89" s="14"/>
      <c r="C89" s="19"/>
      <c r="D89" s="19"/>
      <c r="E89" s="19"/>
      <c r="F89" s="19"/>
      <c r="G89" s="19"/>
      <c r="H89" s="21"/>
      <c r="I89" s="21"/>
      <c r="K89" s="17"/>
      <c r="L89" s="17"/>
      <c r="M89" s="17"/>
      <c r="N89" s="10"/>
      <c r="O89" s="10"/>
    </row>
    <row r="90" spans="1:15" s="38" customFormat="1" ht="12" customHeight="1">
      <c r="A90" s="18"/>
      <c r="B90" s="14"/>
      <c r="C90" s="19"/>
      <c r="D90" s="19"/>
      <c r="E90" s="19"/>
      <c r="F90" s="19"/>
      <c r="G90" s="19"/>
      <c r="H90" s="21"/>
      <c r="I90" s="21"/>
      <c r="K90" s="17"/>
      <c r="L90" s="17"/>
      <c r="M90" s="17"/>
      <c r="N90" s="10"/>
      <c r="O90" s="10"/>
    </row>
    <row r="91" spans="1:15" s="38" customFormat="1" ht="12" customHeight="1">
      <c r="A91" s="18"/>
      <c r="B91" s="14"/>
      <c r="C91" s="19"/>
      <c r="D91" s="19"/>
      <c r="E91" s="19"/>
      <c r="F91" s="19"/>
      <c r="G91" s="19"/>
      <c r="H91" s="21"/>
      <c r="I91" s="21"/>
      <c r="K91" s="17"/>
      <c r="L91" s="17"/>
      <c r="M91" s="17"/>
      <c r="N91" s="10"/>
      <c r="O91" s="10"/>
    </row>
    <row r="92" spans="1:15" s="38" customFormat="1" ht="12" customHeight="1">
      <c r="A92" s="18"/>
      <c r="B92" s="14"/>
      <c r="C92" s="19"/>
      <c r="D92" s="19"/>
      <c r="E92" s="19"/>
      <c r="F92" s="19"/>
      <c r="G92" s="19"/>
      <c r="H92" s="21"/>
      <c r="I92" s="21"/>
      <c r="K92" s="17"/>
      <c r="L92" s="17"/>
      <c r="M92" s="17"/>
      <c r="N92" s="10"/>
      <c r="O92" s="10"/>
    </row>
    <row r="93" spans="1:15" s="38" customFormat="1" ht="12" customHeight="1">
      <c r="A93" s="18"/>
      <c r="B93" s="14"/>
      <c r="C93" s="19"/>
      <c r="D93" s="19"/>
      <c r="E93" s="19"/>
      <c r="F93" s="19"/>
      <c r="G93" s="19"/>
      <c r="H93" s="21"/>
      <c r="I93" s="21"/>
      <c r="K93" s="17"/>
      <c r="L93" s="17"/>
      <c r="M93" s="17"/>
      <c r="N93" s="10"/>
      <c r="O93" s="10"/>
    </row>
    <row r="94" spans="1:15" s="38" customFormat="1" ht="12" customHeight="1">
      <c r="A94" s="18"/>
      <c r="B94" s="14"/>
      <c r="C94" s="19"/>
      <c r="D94" s="19"/>
      <c r="E94" s="19"/>
      <c r="F94" s="19"/>
      <c r="G94" s="19"/>
      <c r="H94" s="21"/>
      <c r="I94" s="21"/>
      <c r="K94" s="17"/>
      <c r="L94" s="17"/>
      <c r="M94" s="17"/>
      <c r="N94" s="10"/>
      <c r="O94" s="10"/>
    </row>
    <row r="95" spans="1:15" s="38" customFormat="1" ht="12" customHeight="1">
      <c r="A95" s="18"/>
      <c r="B95" s="14"/>
      <c r="C95" s="19"/>
      <c r="D95" s="19"/>
      <c r="E95" s="19"/>
      <c r="F95" s="19"/>
      <c r="G95" s="19"/>
      <c r="H95" s="21"/>
      <c r="I95" s="21"/>
      <c r="K95" s="17"/>
      <c r="L95" s="17"/>
      <c r="M95" s="17"/>
      <c r="N95" s="10"/>
      <c r="O95" s="10"/>
    </row>
    <row r="96" spans="1:15" s="38" customFormat="1" ht="12" customHeight="1">
      <c r="A96" s="18"/>
      <c r="B96" s="14"/>
      <c r="C96" s="19"/>
      <c r="D96" s="19"/>
      <c r="E96" s="19"/>
      <c r="F96" s="19"/>
      <c r="G96" s="19"/>
      <c r="H96" s="21"/>
      <c r="I96" s="21"/>
      <c r="K96" s="17"/>
      <c r="L96" s="17"/>
      <c r="M96" s="17"/>
      <c r="N96" s="10"/>
      <c r="O96" s="10"/>
    </row>
    <row r="97" spans="1:15" s="38" customFormat="1" ht="12" customHeight="1">
      <c r="A97" s="18"/>
      <c r="B97" s="14"/>
      <c r="C97" s="19"/>
      <c r="D97" s="19"/>
      <c r="E97" s="19"/>
      <c r="F97" s="19"/>
      <c r="G97" s="19"/>
      <c r="H97" s="21"/>
      <c r="I97" s="21"/>
      <c r="K97" s="17"/>
      <c r="L97" s="17"/>
      <c r="M97" s="17"/>
      <c r="N97" s="10"/>
      <c r="O97" s="10"/>
    </row>
    <row r="98" spans="1:15" s="38" customFormat="1" ht="12" customHeight="1">
      <c r="A98" s="18"/>
      <c r="B98" s="14"/>
      <c r="C98" s="19"/>
      <c r="D98" s="19"/>
      <c r="E98" s="19"/>
      <c r="F98" s="19"/>
      <c r="G98" s="19"/>
      <c r="H98" s="21"/>
      <c r="I98" s="21"/>
      <c r="K98" s="17"/>
      <c r="L98" s="17"/>
      <c r="M98" s="17"/>
      <c r="N98" s="10"/>
      <c r="O98" s="10"/>
    </row>
    <row r="99" spans="1:15" s="38" customFormat="1" ht="12" customHeight="1">
      <c r="A99" s="18"/>
      <c r="B99" s="14"/>
      <c r="C99" s="19"/>
      <c r="D99" s="19"/>
      <c r="E99" s="19"/>
      <c r="F99" s="19"/>
      <c r="G99" s="19"/>
      <c r="H99" s="21"/>
      <c r="I99" s="21"/>
      <c r="K99" s="17"/>
      <c r="L99" s="17"/>
      <c r="M99" s="17"/>
      <c r="N99" s="10"/>
      <c r="O99" s="10"/>
    </row>
    <row r="100" spans="1:15" s="38" customFormat="1" ht="12" customHeight="1">
      <c r="A100" s="18"/>
      <c r="B100" s="14"/>
      <c r="C100" s="19"/>
      <c r="D100" s="19"/>
      <c r="E100" s="19"/>
      <c r="F100" s="19"/>
      <c r="G100" s="19"/>
      <c r="H100" s="21"/>
      <c r="I100" s="21"/>
      <c r="K100" s="17"/>
      <c r="L100" s="17"/>
      <c r="M100" s="17"/>
      <c r="N100" s="10"/>
      <c r="O100" s="10"/>
    </row>
    <row r="101" spans="1:15" s="38" customFormat="1" ht="12" customHeight="1">
      <c r="A101" s="18"/>
      <c r="B101" s="14"/>
      <c r="C101" s="19"/>
      <c r="D101" s="19"/>
      <c r="E101" s="19"/>
      <c r="F101" s="19"/>
      <c r="G101" s="19"/>
      <c r="H101" s="21"/>
      <c r="I101" s="21"/>
      <c r="K101" s="17"/>
      <c r="L101" s="17"/>
      <c r="M101" s="17"/>
      <c r="N101" s="10"/>
      <c r="O101" s="10"/>
    </row>
    <row r="102" spans="1:15" s="38" customFormat="1" ht="12" customHeight="1">
      <c r="A102" s="18"/>
      <c r="B102" s="14"/>
      <c r="C102" s="19"/>
      <c r="D102" s="19"/>
      <c r="E102" s="19"/>
      <c r="F102" s="19"/>
      <c r="G102" s="19"/>
      <c r="H102" s="21"/>
      <c r="I102" s="21"/>
      <c r="K102" s="17"/>
      <c r="L102" s="17"/>
      <c r="M102" s="17"/>
      <c r="N102" s="10"/>
      <c r="O102" s="10"/>
    </row>
    <row r="103" spans="1:15" s="38" customFormat="1" ht="12" customHeight="1">
      <c r="A103" s="18"/>
      <c r="B103" s="14"/>
      <c r="C103" s="19"/>
      <c r="D103" s="19"/>
      <c r="E103" s="19"/>
      <c r="F103" s="19"/>
      <c r="G103" s="19"/>
      <c r="H103" s="21"/>
      <c r="I103" s="21"/>
      <c r="K103" s="17"/>
      <c r="L103" s="17"/>
      <c r="M103" s="17"/>
      <c r="N103" s="10"/>
      <c r="O103" s="10"/>
    </row>
    <row r="104" spans="1:15" s="38" customFormat="1" ht="12" customHeight="1">
      <c r="A104" s="18"/>
      <c r="B104" s="14"/>
      <c r="C104" s="19"/>
      <c r="D104" s="19"/>
      <c r="E104" s="19"/>
      <c r="F104" s="19"/>
      <c r="G104" s="19"/>
      <c r="H104" s="21"/>
      <c r="I104" s="21"/>
      <c r="K104" s="17"/>
      <c r="L104" s="17"/>
      <c r="M104" s="17"/>
      <c r="N104" s="10"/>
      <c r="O104" s="10"/>
    </row>
    <row r="105" spans="1:15" s="38" customFormat="1" ht="12" customHeight="1">
      <c r="A105" s="18"/>
      <c r="B105" s="14"/>
      <c r="C105" s="19"/>
      <c r="D105" s="19"/>
      <c r="E105" s="19"/>
      <c r="F105" s="19"/>
      <c r="G105" s="19"/>
      <c r="H105" s="21"/>
      <c r="I105" s="21"/>
      <c r="K105" s="17"/>
      <c r="L105" s="17"/>
      <c r="M105" s="17"/>
      <c r="N105" s="10"/>
      <c r="O105" s="10"/>
    </row>
    <row r="106" spans="1:15" s="38" customFormat="1" ht="12" customHeight="1">
      <c r="A106" s="18"/>
      <c r="B106" s="14"/>
      <c r="C106" s="19"/>
      <c r="D106" s="19"/>
      <c r="E106" s="19"/>
      <c r="F106" s="19"/>
      <c r="G106" s="19"/>
      <c r="H106" s="21"/>
      <c r="I106" s="21"/>
      <c r="K106" s="17"/>
      <c r="L106" s="17"/>
      <c r="M106" s="17"/>
      <c r="N106" s="10"/>
      <c r="O106" s="10"/>
    </row>
    <row r="107" spans="1:15" s="38" customFormat="1" ht="12" customHeight="1">
      <c r="A107" s="18"/>
      <c r="B107" s="14"/>
      <c r="C107" s="19"/>
      <c r="D107" s="19"/>
      <c r="E107" s="19"/>
      <c r="F107" s="19"/>
      <c r="G107" s="19"/>
      <c r="H107" s="21"/>
      <c r="I107" s="21"/>
      <c r="K107" s="17"/>
      <c r="L107" s="17"/>
      <c r="M107" s="17"/>
      <c r="N107" s="10"/>
      <c r="O107" s="10"/>
    </row>
    <row r="108" spans="1:15" s="38" customFormat="1" ht="12" customHeight="1">
      <c r="A108" s="18"/>
      <c r="B108" s="14"/>
      <c r="C108" s="19"/>
      <c r="D108" s="19"/>
      <c r="E108" s="19"/>
      <c r="F108" s="19"/>
      <c r="G108" s="19"/>
      <c r="H108" s="21"/>
      <c r="I108" s="21"/>
      <c r="K108" s="17"/>
      <c r="L108" s="17"/>
      <c r="M108" s="17"/>
      <c r="N108" s="10"/>
      <c r="O108" s="10"/>
    </row>
    <row r="109" spans="1:15" s="38" customFormat="1" ht="12" customHeight="1">
      <c r="A109" s="18"/>
      <c r="B109" s="14"/>
      <c r="C109" s="19"/>
      <c r="D109" s="19"/>
      <c r="E109" s="19"/>
      <c r="F109" s="19"/>
      <c r="G109" s="19"/>
      <c r="H109" s="21"/>
      <c r="I109" s="21"/>
      <c r="K109" s="17"/>
      <c r="L109" s="17"/>
      <c r="M109" s="17"/>
      <c r="N109" s="10"/>
      <c r="O109" s="10"/>
    </row>
    <row r="110" spans="1:15" s="38" customFormat="1" ht="12" customHeight="1">
      <c r="A110" s="18"/>
      <c r="B110" s="14"/>
      <c r="C110" s="19"/>
      <c r="D110" s="19"/>
      <c r="E110" s="19"/>
      <c r="F110" s="19"/>
      <c r="G110" s="19"/>
      <c r="H110" s="21"/>
      <c r="I110" s="21"/>
      <c r="K110" s="17"/>
      <c r="L110" s="17"/>
      <c r="M110" s="17"/>
      <c r="N110" s="10"/>
      <c r="O110" s="10"/>
    </row>
    <row r="111" spans="1:15" s="38" customFormat="1" ht="12" customHeight="1">
      <c r="A111" s="18"/>
      <c r="B111" s="14"/>
      <c r="C111" s="19"/>
      <c r="D111" s="19"/>
      <c r="E111" s="19"/>
      <c r="F111" s="19"/>
      <c r="G111" s="19"/>
      <c r="H111" s="21"/>
      <c r="I111" s="21"/>
      <c r="K111" s="17"/>
      <c r="L111" s="17"/>
      <c r="M111" s="17"/>
      <c r="N111" s="10"/>
      <c r="O111" s="10"/>
    </row>
    <row r="112" spans="1:15" s="38" customFormat="1" ht="12" customHeight="1">
      <c r="A112" s="18"/>
      <c r="B112" s="14"/>
      <c r="C112" s="19"/>
      <c r="D112" s="19"/>
      <c r="E112" s="19"/>
      <c r="F112" s="19"/>
      <c r="G112" s="19"/>
      <c r="H112" s="21"/>
      <c r="I112" s="21"/>
      <c r="K112" s="17"/>
      <c r="L112" s="17"/>
      <c r="M112" s="17"/>
      <c r="N112" s="10"/>
      <c r="O112" s="10"/>
    </row>
    <row r="113" spans="1:15" s="38" customFormat="1" ht="12" customHeight="1">
      <c r="A113" s="18"/>
      <c r="B113" s="14"/>
      <c r="C113" s="19"/>
      <c r="D113" s="19"/>
      <c r="E113" s="19"/>
      <c r="F113" s="19"/>
      <c r="G113" s="19"/>
      <c r="H113" s="21"/>
      <c r="I113" s="21"/>
      <c r="K113" s="17"/>
      <c r="L113" s="17"/>
      <c r="M113" s="17"/>
      <c r="N113" s="10"/>
      <c r="O113" s="10"/>
    </row>
    <row r="114" spans="1:15" s="38" customFormat="1" ht="12" customHeight="1">
      <c r="A114" s="18"/>
      <c r="B114" s="14"/>
      <c r="C114" s="19"/>
      <c r="D114" s="19"/>
      <c r="E114" s="19"/>
      <c r="F114" s="19"/>
      <c r="G114" s="19"/>
      <c r="H114" s="21"/>
      <c r="I114" s="21"/>
      <c r="K114" s="17"/>
      <c r="L114" s="17"/>
      <c r="M114" s="17"/>
      <c r="N114" s="10"/>
      <c r="O114" s="10"/>
    </row>
    <row r="115" spans="1:15" s="38" customFormat="1" ht="12" customHeight="1">
      <c r="A115" s="18"/>
      <c r="B115" s="14"/>
      <c r="C115" s="19"/>
      <c r="D115" s="19"/>
      <c r="E115" s="19"/>
      <c r="F115" s="19"/>
      <c r="G115" s="19"/>
      <c r="H115" s="21"/>
      <c r="I115" s="21"/>
      <c r="K115" s="17"/>
      <c r="L115" s="17"/>
      <c r="M115" s="17"/>
      <c r="N115" s="10"/>
      <c r="O115" s="10"/>
    </row>
    <row r="116" spans="1:15" s="38" customFormat="1" ht="12" customHeight="1">
      <c r="A116" s="18"/>
      <c r="B116" s="14"/>
      <c r="C116" s="19"/>
      <c r="D116" s="19"/>
      <c r="E116" s="19"/>
      <c r="F116" s="19"/>
      <c r="G116" s="19"/>
      <c r="H116" s="21"/>
      <c r="I116" s="21"/>
      <c r="K116" s="17"/>
      <c r="L116" s="17"/>
      <c r="M116" s="17"/>
      <c r="N116" s="10"/>
      <c r="O116" s="10"/>
    </row>
    <row r="117" spans="1:15" s="38" customFormat="1" ht="12" customHeight="1">
      <c r="A117" s="18"/>
      <c r="B117" s="14"/>
      <c r="C117" s="19"/>
      <c r="D117" s="19"/>
      <c r="E117" s="19"/>
      <c r="F117" s="19"/>
      <c r="G117" s="19"/>
      <c r="H117" s="21"/>
      <c r="I117" s="21"/>
      <c r="K117" s="17"/>
      <c r="L117" s="17"/>
      <c r="M117" s="17"/>
      <c r="N117" s="10"/>
      <c r="O117" s="10"/>
    </row>
    <row r="118" spans="1:15" s="38" customFormat="1" ht="12" customHeight="1">
      <c r="A118" s="18"/>
      <c r="B118" s="14"/>
      <c r="C118" s="19"/>
      <c r="D118" s="19"/>
      <c r="E118" s="19"/>
      <c r="F118" s="19"/>
      <c r="G118" s="19"/>
      <c r="H118" s="21"/>
      <c r="I118" s="21"/>
      <c r="K118" s="17"/>
      <c r="L118" s="17"/>
      <c r="M118" s="17"/>
      <c r="N118" s="10"/>
      <c r="O118" s="10"/>
    </row>
    <row r="119" spans="1:15" s="38" customFormat="1" ht="12" customHeight="1">
      <c r="A119" s="18"/>
      <c r="B119" s="14"/>
      <c r="C119" s="19"/>
      <c r="D119" s="19"/>
      <c r="E119" s="19"/>
      <c r="F119" s="19"/>
      <c r="G119" s="19"/>
      <c r="H119" s="21"/>
      <c r="I119" s="21"/>
      <c r="K119" s="17"/>
      <c r="L119" s="17"/>
      <c r="M119" s="17"/>
      <c r="N119" s="10"/>
      <c r="O119" s="10"/>
    </row>
    <row r="120" spans="1:15" s="38" customFormat="1" ht="12" customHeight="1">
      <c r="A120" s="18"/>
      <c r="B120" s="14"/>
      <c r="C120" s="19"/>
      <c r="D120" s="19"/>
      <c r="E120" s="19"/>
      <c r="F120" s="19"/>
      <c r="G120" s="19"/>
      <c r="H120" s="21"/>
      <c r="I120" s="21"/>
      <c r="K120" s="17"/>
      <c r="L120" s="17"/>
      <c r="M120" s="17"/>
      <c r="N120" s="10"/>
      <c r="O120" s="10"/>
    </row>
    <row r="121" spans="1:15" s="38" customFormat="1" ht="12" customHeight="1">
      <c r="A121" s="18"/>
      <c r="B121" s="14"/>
      <c r="C121" s="19"/>
      <c r="D121" s="19"/>
      <c r="E121" s="19"/>
      <c r="F121" s="19"/>
      <c r="G121" s="19"/>
      <c r="H121" s="21"/>
      <c r="I121" s="21"/>
      <c r="K121" s="17"/>
      <c r="L121" s="17"/>
      <c r="M121" s="17"/>
      <c r="N121" s="10"/>
      <c r="O121" s="10"/>
    </row>
    <row r="122" spans="1:15" s="38" customFormat="1" ht="12" customHeight="1">
      <c r="A122" s="18"/>
      <c r="B122" s="14"/>
      <c r="C122" s="19"/>
      <c r="D122" s="19"/>
      <c r="E122" s="19"/>
      <c r="F122" s="19"/>
      <c r="G122" s="19"/>
      <c r="H122" s="21"/>
      <c r="I122" s="21"/>
      <c r="K122" s="17"/>
      <c r="L122" s="17"/>
      <c r="M122" s="17"/>
      <c r="N122" s="10"/>
      <c r="O122" s="10"/>
    </row>
    <row r="123" spans="1:15" s="38" customFormat="1" ht="12" customHeight="1">
      <c r="A123" s="18"/>
      <c r="B123" s="14"/>
      <c r="C123" s="19"/>
      <c r="D123" s="19"/>
      <c r="E123" s="19"/>
      <c r="F123" s="19"/>
      <c r="G123" s="19"/>
      <c r="H123" s="21"/>
      <c r="I123" s="21"/>
      <c r="K123" s="17"/>
      <c r="L123" s="17"/>
      <c r="M123" s="17"/>
      <c r="N123" s="10"/>
      <c r="O123" s="10"/>
    </row>
    <row r="124" spans="1:15" s="38" customFormat="1" ht="12" customHeight="1">
      <c r="A124" s="18"/>
      <c r="B124" s="14"/>
      <c r="C124" s="19"/>
      <c r="D124" s="19"/>
      <c r="E124" s="19"/>
      <c r="F124" s="19"/>
      <c r="G124" s="19"/>
      <c r="H124" s="21"/>
      <c r="I124" s="21"/>
      <c r="K124" s="17"/>
      <c r="L124" s="17"/>
      <c r="M124" s="17"/>
      <c r="N124" s="10"/>
      <c r="O124" s="10"/>
    </row>
  </sheetData>
  <mergeCells count="16">
    <mergeCell ref="B16:M16"/>
    <mergeCell ref="O4:O5"/>
    <mergeCell ref="B9:M9"/>
    <mergeCell ref="E4:E5"/>
    <mergeCell ref="B4:B5"/>
    <mergeCell ref="M4:M5"/>
    <mergeCell ref="C4:C5"/>
    <mergeCell ref="D4:D5"/>
    <mergeCell ref="K4:K5"/>
    <mergeCell ref="A7:M7"/>
    <mergeCell ref="A8:M8"/>
    <mergeCell ref="L4:L5"/>
    <mergeCell ref="F4:G4"/>
    <mergeCell ref="H4:J4"/>
    <mergeCell ref="A4:A5"/>
    <mergeCell ref="N4:N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1"/>
  <sheetViews>
    <sheetView view="pageBreakPreview" zoomScaleNormal="85" zoomScaleSheetLayoutView="100" workbookViewId="0">
      <pane xSplit="3" topLeftCell="D1" activePane="topRight" state="frozen"/>
      <selection activeCell="B6" sqref="B6"/>
      <selection pane="topRight" activeCell="A2" sqref="A2"/>
    </sheetView>
  </sheetViews>
  <sheetFormatPr defaultRowHeight="12" customHeight="1"/>
  <cols>
    <col min="1" max="1" width="4.33203125" style="18" bestFit="1" customWidth="1"/>
    <col min="2" max="2" width="28.88671875" style="14" customWidth="1"/>
    <col min="3" max="3" width="28.5546875" style="14" customWidth="1"/>
    <col min="4" max="4" width="10.5546875" style="14" customWidth="1"/>
    <col min="5" max="5" width="9.664062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1" width="9.5546875" style="17" bestFit="1" customWidth="1"/>
    <col min="12" max="12" width="8.44140625" style="17" customWidth="1"/>
    <col min="13" max="13" width="7.88671875" style="17" customWidth="1"/>
    <col min="14" max="14" width="8.88671875" style="10"/>
    <col min="15" max="15" width="9.77734375" style="10" customWidth="1"/>
    <col min="16" max="16384" width="8.88671875" style="10"/>
  </cols>
  <sheetData>
    <row r="1" spans="1:16" s="7" customFormat="1" ht="50.1" customHeight="1">
      <c r="A1" s="95"/>
      <c r="B1" s="724" t="s">
        <v>697</v>
      </c>
      <c r="C1" s="98" t="s">
        <v>571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6" customFormat="1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57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6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4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4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4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4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4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6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pans="1:15" s="36" customFormat="1" ht="20.100000000000001" customHeight="1">
      <c r="B17" s="39"/>
      <c r="C17" s="39"/>
      <c r="D17" s="39"/>
      <c r="E17" s="39"/>
      <c r="F17" s="35"/>
      <c r="G17" s="35"/>
      <c r="J17" s="97"/>
      <c r="K17" s="37"/>
      <c r="L17" s="37"/>
      <c r="M17" s="37"/>
    </row>
    <row r="18" spans="1:15" s="57" customFormat="1" ht="20.100000000000001" customHeight="1">
      <c r="A18" s="35"/>
      <c r="B18" s="35"/>
      <c r="C18" s="35"/>
      <c r="D18" s="35"/>
      <c r="E18" s="35"/>
      <c r="F18" s="58"/>
      <c r="G18" s="58"/>
      <c r="H18" s="36"/>
      <c r="I18" s="36"/>
      <c r="J18" s="69"/>
      <c r="K18" s="59"/>
      <c r="L18" s="59"/>
      <c r="M18" s="59"/>
    </row>
    <row r="19" spans="1:15" s="57" customFormat="1" ht="20.100000000000001" customHeight="1">
      <c r="A19" s="708"/>
      <c r="B19" s="58"/>
      <c r="C19" s="58"/>
      <c r="D19" s="58"/>
      <c r="E19" s="58"/>
      <c r="F19" s="709"/>
      <c r="G19" s="709"/>
      <c r="H19" s="36"/>
      <c r="I19" s="36"/>
      <c r="J19" s="710"/>
      <c r="K19" s="59"/>
      <c r="L19" s="59"/>
      <c r="M19" s="59"/>
    </row>
    <row r="20" spans="1:15" s="57" customFormat="1" ht="20.100000000000001" customHeight="1">
      <c r="A20" s="708"/>
      <c r="B20" s="85"/>
      <c r="C20" s="709"/>
      <c r="D20" s="709"/>
      <c r="E20" s="709"/>
      <c r="F20" s="709"/>
      <c r="G20" s="709"/>
      <c r="H20" s="36"/>
      <c r="I20" s="36"/>
      <c r="J20" s="710"/>
      <c r="K20" s="59"/>
      <c r="L20" s="59"/>
      <c r="M20" s="59"/>
    </row>
    <row r="21" spans="1:15" s="57" customFormat="1" ht="20.100000000000001" customHeight="1">
      <c r="A21" s="708"/>
      <c r="B21" s="85"/>
      <c r="C21" s="709"/>
      <c r="D21" s="709"/>
      <c r="E21" s="709"/>
      <c r="F21" s="709"/>
      <c r="G21" s="709"/>
      <c r="H21" s="36"/>
      <c r="I21" s="36"/>
      <c r="J21" s="710"/>
      <c r="K21" s="59"/>
      <c r="L21" s="59"/>
      <c r="M21" s="59"/>
    </row>
    <row r="22" spans="1:15" s="57" customFormat="1" ht="20.100000000000001" customHeight="1">
      <c r="A22" s="708"/>
      <c r="B22" s="85"/>
      <c r="C22" s="709"/>
      <c r="D22" s="709"/>
      <c r="E22" s="709"/>
      <c r="F22" s="709"/>
      <c r="G22" s="709"/>
      <c r="H22" s="36"/>
      <c r="I22" s="36"/>
      <c r="J22" s="710"/>
      <c r="K22" s="59"/>
      <c r="L22" s="59"/>
      <c r="M22" s="59"/>
    </row>
    <row r="23" spans="1:15" s="57" customFormat="1" ht="12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59"/>
      <c r="L23" s="59"/>
      <c r="M23" s="59"/>
    </row>
    <row r="24" spans="1:15" s="57" customFormat="1" ht="12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59"/>
      <c r="L24" s="59"/>
      <c r="M24" s="59"/>
    </row>
    <row r="25" spans="1:15" s="57" customFormat="1" ht="12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59"/>
      <c r="L25" s="59"/>
      <c r="M25" s="59"/>
    </row>
    <row r="26" spans="1:15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59"/>
      <c r="L26" s="59"/>
      <c r="M26" s="59"/>
    </row>
    <row r="27" spans="1:15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59"/>
      <c r="L27" s="59"/>
      <c r="M27" s="59"/>
    </row>
    <row r="28" spans="1:15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59"/>
      <c r="L28" s="59"/>
      <c r="M28" s="59"/>
    </row>
    <row r="29" spans="1:15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59"/>
      <c r="L29" s="59"/>
      <c r="M29" s="59"/>
    </row>
    <row r="30" spans="1:15" s="57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J30" s="710"/>
      <c r="K30" s="59"/>
      <c r="L30" s="59"/>
      <c r="M30" s="59"/>
    </row>
    <row r="31" spans="1:15" s="710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K31" s="59"/>
      <c r="L31" s="59"/>
      <c r="M31" s="59"/>
      <c r="N31" s="57"/>
      <c r="O31" s="57"/>
    </row>
    <row r="32" spans="1:15" s="710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K32" s="59"/>
      <c r="L32" s="59"/>
      <c r="M32" s="59"/>
      <c r="N32" s="57"/>
      <c r="O32" s="57"/>
    </row>
    <row r="33" spans="1:15" s="710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K33" s="59"/>
      <c r="L33" s="59"/>
      <c r="M33" s="59"/>
      <c r="N33" s="57"/>
      <c r="O33" s="57"/>
    </row>
    <row r="34" spans="1:15" s="710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K34" s="59"/>
      <c r="L34" s="59"/>
      <c r="M34" s="59"/>
      <c r="N34" s="57"/>
      <c r="O34" s="57"/>
    </row>
    <row r="35" spans="1:15" s="710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K35" s="59"/>
      <c r="L35" s="59"/>
      <c r="M35" s="59"/>
      <c r="N35" s="57"/>
      <c r="O35" s="57"/>
    </row>
    <row r="36" spans="1:15" s="710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K36" s="59"/>
      <c r="L36" s="59"/>
      <c r="M36" s="59"/>
      <c r="N36" s="57"/>
      <c r="O36" s="57"/>
    </row>
    <row r="37" spans="1:15" s="710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K37" s="59"/>
      <c r="L37" s="59"/>
      <c r="M37" s="59"/>
      <c r="N37" s="57"/>
      <c r="O37" s="57"/>
    </row>
    <row r="38" spans="1:15" s="710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K38" s="59"/>
      <c r="L38" s="59"/>
      <c r="M38" s="59"/>
      <c r="N38" s="57"/>
      <c r="O38" s="57"/>
    </row>
    <row r="39" spans="1:15" s="710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K39" s="59"/>
      <c r="L39" s="59"/>
      <c r="M39" s="59"/>
      <c r="N39" s="57"/>
      <c r="O39" s="57"/>
    </row>
    <row r="40" spans="1:15" s="710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K40" s="59"/>
      <c r="L40" s="59"/>
      <c r="M40" s="59"/>
      <c r="N40" s="57"/>
      <c r="O40" s="57"/>
    </row>
    <row r="41" spans="1:15" s="710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K41" s="59"/>
      <c r="L41" s="59"/>
      <c r="M41" s="59"/>
      <c r="N41" s="57"/>
      <c r="O41" s="57"/>
    </row>
    <row r="42" spans="1:15" s="710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K42" s="59"/>
      <c r="L42" s="59"/>
      <c r="M42" s="59"/>
      <c r="N42" s="57"/>
      <c r="O42" s="57"/>
    </row>
    <row r="43" spans="1:15" s="710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K43" s="59"/>
      <c r="L43" s="59"/>
      <c r="M43" s="59"/>
      <c r="N43" s="57"/>
      <c r="O43" s="57"/>
    </row>
    <row r="44" spans="1:15" s="710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K44" s="59"/>
      <c r="L44" s="59"/>
      <c r="M44" s="59"/>
      <c r="N44" s="57"/>
      <c r="O44" s="57"/>
    </row>
    <row r="45" spans="1:15" s="710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K45" s="59"/>
      <c r="L45" s="59"/>
      <c r="M45" s="59"/>
      <c r="N45" s="57"/>
      <c r="O45" s="57"/>
    </row>
    <row r="46" spans="1:15" s="710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K46" s="59"/>
      <c r="L46" s="59"/>
      <c r="M46" s="59"/>
      <c r="N46" s="57"/>
      <c r="O46" s="57"/>
    </row>
    <row r="47" spans="1:15" s="710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K47" s="59"/>
      <c r="L47" s="59"/>
      <c r="M47" s="59"/>
      <c r="N47" s="57"/>
      <c r="O47" s="57"/>
    </row>
    <row r="48" spans="1:15" s="710" customFormat="1" ht="12" customHeight="1">
      <c r="A48" s="708"/>
      <c r="B48" s="85"/>
      <c r="C48" s="709"/>
      <c r="D48" s="709"/>
      <c r="E48" s="709"/>
      <c r="F48" s="709"/>
      <c r="G48" s="709"/>
      <c r="H48" s="36"/>
      <c r="I48" s="36"/>
      <c r="K48" s="59"/>
      <c r="L48" s="59"/>
      <c r="M48" s="59"/>
      <c r="N48" s="57"/>
      <c r="O48" s="57"/>
    </row>
    <row r="49" spans="1:15" s="710" customFormat="1" ht="12" customHeight="1">
      <c r="A49" s="708"/>
      <c r="B49" s="85"/>
      <c r="C49" s="709"/>
      <c r="D49" s="709"/>
      <c r="E49" s="709"/>
      <c r="F49" s="709"/>
      <c r="G49" s="709"/>
      <c r="H49" s="36"/>
      <c r="I49" s="36"/>
      <c r="K49" s="59"/>
      <c r="L49" s="59"/>
      <c r="M49" s="59"/>
      <c r="N49" s="57"/>
      <c r="O49" s="57"/>
    </row>
    <row r="50" spans="1:15" s="38" customFormat="1" ht="12" customHeight="1">
      <c r="A50" s="18"/>
      <c r="B50" s="14"/>
      <c r="C50" s="19"/>
      <c r="D50" s="19"/>
      <c r="E50" s="19"/>
      <c r="F50" s="19"/>
      <c r="G50" s="19"/>
      <c r="H50" s="21"/>
      <c r="I50" s="21"/>
      <c r="K50" s="17"/>
      <c r="L50" s="17"/>
      <c r="M50" s="17"/>
      <c r="N50" s="10"/>
      <c r="O50" s="10"/>
    </row>
    <row r="51" spans="1:15" s="38" customFormat="1" ht="12" customHeight="1">
      <c r="A51" s="18"/>
      <c r="B51" s="14"/>
      <c r="C51" s="19"/>
      <c r="D51" s="19"/>
      <c r="E51" s="19"/>
      <c r="F51" s="19"/>
      <c r="G51" s="19"/>
      <c r="H51" s="21"/>
      <c r="I51" s="21"/>
      <c r="K51" s="17"/>
      <c r="L51" s="17"/>
      <c r="M51" s="17"/>
      <c r="N51" s="10"/>
      <c r="O51" s="10"/>
    </row>
    <row r="52" spans="1:15" s="38" customFormat="1" ht="12" customHeight="1">
      <c r="A52" s="18"/>
      <c r="B52" s="14"/>
      <c r="C52" s="19"/>
      <c r="D52" s="19"/>
      <c r="E52" s="19"/>
      <c r="F52" s="19"/>
      <c r="G52" s="19"/>
      <c r="H52" s="21"/>
      <c r="I52" s="21"/>
      <c r="K52" s="17"/>
      <c r="L52" s="17"/>
      <c r="M52" s="17"/>
      <c r="N52" s="10"/>
      <c r="O52" s="10"/>
    </row>
    <row r="53" spans="1:15" s="38" customFormat="1" ht="12" customHeight="1">
      <c r="A53" s="18"/>
      <c r="B53" s="14"/>
      <c r="C53" s="19"/>
      <c r="D53" s="19"/>
      <c r="E53" s="19"/>
      <c r="F53" s="19"/>
      <c r="G53" s="19"/>
      <c r="H53" s="21"/>
      <c r="I53" s="21"/>
      <c r="K53" s="17"/>
      <c r="L53" s="17"/>
      <c r="M53" s="17"/>
      <c r="N53" s="10"/>
      <c r="O53" s="10"/>
    </row>
    <row r="54" spans="1:15" s="38" customFormat="1" ht="12" customHeight="1">
      <c r="A54" s="18"/>
      <c r="B54" s="14"/>
      <c r="C54" s="19"/>
      <c r="D54" s="19"/>
      <c r="E54" s="19"/>
      <c r="F54" s="19"/>
      <c r="G54" s="19"/>
      <c r="H54" s="21"/>
      <c r="I54" s="21"/>
      <c r="K54" s="17"/>
      <c r="L54" s="17"/>
      <c r="M54" s="17"/>
      <c r="N54" s="10"/>
      <c r="O54" s="10"/>
    </row>
    <row r="55" spans="1:15" s="38" customFormat="1" ht="12" customHeight="1">
      <c r="A55" s="18"/>
      <c r="B55" s="14"/>
      <c r="C55" s="19"/>
      <c r="D55" s="19"/>
      <c r="E55" s="19"/>
      <c r="F55" s="19"/>
      <c r="G55" s="19"/>
      <c r="H55" s="21"/>
      <c r="I55" s="21"/>
      <c r="K55" s="17"/>
      <c r="L55" s="17"/>
      <c r="M55" s="17"/>
      <c r="N55" s="10"/>
      <c r="O55" s="10"/>
    </row>
    <row r="56" spans="1:15" s="38" customFormat="1" ht="12" customHeight="1">
      <c r="A56" s="18"/>
      <c r="B56" s="14"/>
      <c r="C56" s="19"/>
      <c r="D56" s="19"/>
      <c r="E56" s="19"/>
      <c r="F56" s="19"/>
      <c r="G56" s="19"/>
      <c r="H56" s="21"/>
      <c r="I56" s="21"/>
      <c r="K56" s="17"/>
      <c r="L56" s="17"/>
      <c r="M56" s="17"/>
      <c r="N56" s="10"/>
      <c r="O56" s="10"/>
    </row>
    <row r="57" spans="1:15" s="38" customFormat="1" ht="12" customHeight="1">
      <c r="A57" s="18"/>
      <c r="B57" s="14"/>
      <c r="C57" s="19"/>
      <c r="D57" s="19"/>
      <c r="E57" s="19"/>
      <c r="F57" s="19"/>
      <c r="G57" s="19"/>
      <c r="H57" s="21"/>
      <c r="I57" s="21"/>
      <c r="K57" s="17"/>
      <c r="L57" s="17"/>
      <c r="M57" s="17"/>
      <c r="N57" s="10"/>
      <c r="O57" s="10"/>
    </row>
    <row r="58" spans="1:15" s="38" customFormat="1" ht="12" customHeight="1">
      <c r="A58" s="18"/>
      <c r="B58" s="14"/>
      <c r="C58" s="19"/>
      <c r="D58" s="19"/>
      <c r="E58" s="19"/>
      <c r="F58" s="19"/>
      <c r="G58" s="19"/>
      <c r="H58" s="21"/>
      <c r="I58" s="21"/>
      <c r="K58" s="17"/>
      <c r="L58" s="17"/>
      <c r="M58" s="17"/>
      <c r="N58" s="10"/>
      <c r="O58" s="10"/>
    </row>
    <row r="59" spans="1:15" s="38" customFormat="1" ht="12" customHeight="1">
      <c r="A59" s="18"/>
      <c r="B59" s="14"/>
      <c r="C59" s="19"/>
      <c r="D59" s="19"/>
      <c r="E59" s="19"/>
      <c r="F59" s="19"/>
      <c r="G59" s="19"/>
      <c r="H59" s="21"/>
      <c r="I59" s="21"/>
      <c r="K59" s="17"/>
      <c r="L59" s="17"/>
      <c r="M59" s="17"/>
      <c r="N59" s="10"/>
      <c r="O59" s="10"/>
    </row>
    <row r="60" spans="1:15" s="38" customFormat="1" ht="12" customHeight="1">
      <c r="A60" s="18"/>
      <c r="B60" s="14"/>
      <c r="C60" s="19"/>
      <c r="D60" s="19"/>
      <c r="E60" s="19"/>
      <c r="F60" s="19"/>
      <c r="G60" s="19"/>
      <c r="H60" s="21"/>
      <c r="I60" s="21"/>
      <c r="K60" s="17"/>
      <c r="L60" s="17"/>
      <c r="M60" s="17"/>
      <c r="N60" s="10"/>
      <c r="O60" s="10"/>
    </row>
    <row r="61" spans="1:15" s="38" customFormat="1" ht="12" customHeight="1">
      <c r="A61" s="18"/>
      <c r="B61" s="14"/>
      <c r="C61" s="19"/>
      <c r="D61" s="19"/>
      <c r="E61" s="19"/>
      <c r="F61" s="19"/>
      <c r="G61" s="19"/>
      <c r="H61" s="21"/>
      <c r="I61" s="21"/>
      <c r="K61" s="17"/>
      <c r="L61" s="17"/>
      <c r="M61" s="17"/>
      <c r="N61" s="10"/>
      <c r="O61" s="10"/>
    </row>
    <row r="62" spans="1:15" s="38" customFormat="1" ht="12" customHeight="1">
      <c r="A62" s="18"/>
      <c r="B62" s="14"/>
      <c r="C62" s="19"/>
      <c r="D62" s="19"/>
      <c r="E62" s="19"/>
      <c r="F62" s="19"/>
      <c r="G62" s="19"/>
      <c r="H62" s="21"/>
      <c r="I62" s="21"/>
      <c r="K62" s="17"/>
      <c r="L62" s="17"/>
      <c r="M62" s="17"/>
      <c r="N62" s="10"/>
      <c r="O62" s="10"/>
    </row>
    <row r="63" spans="1:15" s="38" customFormat="1" ht="12" customHeight="1">
      <c r="A63" s="18"/>
      <c r="B63" s="14"/>
      <c r="C63" s="19"/>
      <c r="D63" s="19"/>
      <c r="E63" s="19"/>
      <c r="F63" s="19"/>
      <c r="G63" s="19"/>
      <c r="H63" s="21"/>
      <c r="I63" s="21"/>
      <c r="K63" s="17"/>
      <c r="L63" s="17"/>
      <c r="M63" s="17"/>
      <c r="N63" s="10"/>
      <c r="O63" s="10"/>
    </row>
    <row r="64" spans="1:15" s="38" customFormat="1" ht="12" customHeight="1">
      <c r="A64" s="18"/>
      <c r="B64" s="14"/>
      <c r="C64" s="19"/>
      <c r="D64" s="19"/>
      <c r="E64" s="19"/>
      <c r="F64" s="19"/>
      <c r="G64" s="19"/>
      <c r="H64" s="21"/>
      <c r="I64" s="21"/>
      <c r="K64" s="17"/>
      <c r="L64" s="17"/>
      <c r="M64" s="17"/>
      <c r="N64" s="10"/>
      <c r="O64" s="10"/>
    </row>
    <row r="65" spans="1:15" s="38" customFormat="1" ht="12" customHeight="1">
      <c r="A65" s="18"/>
      <c r="B65" s="14"/>
      <c r="C65" s="19"/>
      <c r="D65" s="19"/>
      <c r="E65" s="19"/>
      <c r="F65" s="19"/>
      <c r="G65" s="19"/>
      <c r="H65" s="21"/>
      <c r="I65" s="21"/>
      <c r="K65" s="17"/>
      <c r="L65" s="17"/>
      <c r="M65" s="17"/>
      <c r="N65" s="10"/>
      <c r="O65" s="10"/>
    </row>
    <row r="66" spans="1:15" s="38" customFormat="1" ht="12" customHeight="1">
      <c r="A66" s="18"/>
      <c r="B66" s="14"/>
      <c r="C66" s="19"/>
      <c r="D66" s="19"/>
      <c r="E66" s="19"/>
      <c r="F66" s="19"/>
      <c r="G66" s="19"/>
      <c r="H66" s="21"/>
      <c r="I66" s="21"/>
      <c r="K66" s="17"/>
      <c r="L66" s="17"/>
      <c r="M66" s="17"/>
      <c r="N66" s="10"/>
      <c r="O66" s="10"/>
    </row>
    <row r="67" spans="1:15" s="38" customFormat="1" ht="12" customHeight="1">
      <c r="A67" s="18"/>
      <c r="B67" s="14"/>
      <c r="C67" s="19"/>
      <c r="D67" s="19"/>
      <c r="E67" s="19"/>
      <c r="F67" s="19"/>
      <c r="G67" s="19"/>
      <c r="H67" s="21"/>
      <c r="I67" s="21"/>
      <c r="K67" s="17"/>
      <c r="L67" s="17"/>
      <c r="M67" s="17"/>
      <c r="N67" s="10"/>
      <c r="O67" s="10"/>
    </row>
    <row r="68" spans="1:15" s="38" customFormat="1" ht="12" customHeight="1">
      <c r="A68" s="18"/>
      <c r="B68" s="14"/>
      <c r="C68" s="19"/>
      <c r="D68" s="19"/>
      <c r="E68" s="19"/>
      <c r="F68" s="19"/>
      <c r="G68" s="19"/>
      <c r="H68" s="21"/>
      <c r="I68" s="21"/>
      <c r="K68" s="17"/>
      <c r="L68" s="17"/>
      <c r="M68" s="17"/>
      <c r="N68" s="10"/>
      <c r="O68" s="10"/>
    </row>
    <row r="69" spans="1:15" s="38" customFormat="1" ht="12" customHeight="1">
      <c r="A69" s="18"/>
      <c r="B69" s="14"/>
      <c r="C69" s="19"/>
      <c r="D69" s="19"/>
      <c r="E69" s="19"/>
      <c r="F69" s="19"/>
      <c r="G69" s="19"/>
      <c r="H69" s="21"/>
      <c r="I69" s="21"/>
      <c r="K69" s="17"/>
      <c r="L69" s="17"/>
      <c r="M69" s="17"/>
      <c r="N69" s="10"/>
      <c r="O69" s="10"/>
    </row>
    <row r="70" spans="1:15" s="38" customFormat="1" ht="12" customHeight="1">
      <c r="A70" s="18"/>
      <c r="B70" s="14"/>
      <c r="C70" s="19"/>
      <c r="D70" s="19"/>
      <c r="E70" s="19"/>
      <c r="F70" s="19"/>
      <c r="G70" s="19"/>
      <c r="H70" s="21"/>
      <c r="I70" s="21"/>
      <c r="K70" s="17"/>
      <c r="L70" s="17"/>
      <c r="M70" s="17"/>
      <c r="N70" s="10"/>
      <c r="O70" s="10"/>
    </row>
    <row r="71" spans="1:15" s="38" customFormat="1" ht="12" customHeight="1">
      <c r="A71" s="18"/>
      <c r="B71" s="14"/>
      <c r="C71" s="19"/>
      <c r="D71" s="19"/>
      <c r="E71" s="19"/>
      <c r="F71" s="19"/>
      <c r="G71" s="19"/>
      <c r="H71" s="21"/>
      <c r="I71" s="21"/>
      <c r="K71" s="17"/>
      <c r="L71" s="17"/>
      <c r="M71" s="17"/>
      <c r="N71" s="10"/>
      <c r="O71" s="10"/>
    </row>
    <row r="72" spans="1:15" s="38" customFormat="1" ht="12" customHeight="1">
      <c r="A72" s="18"/>
      <c r="B72" s="14"/>
      <c r="C72" s="19"/>
      <c r="D72" s="19"/>
      <c r="E72" s="19"/>
      <c r="F72" s="19"/>
      <c r="G72" s="19"/>
      <c r="H72" s="21"/>
      <c r="I72" s="21"/>
      <c r="K72" s="17"/>
      <c r="L72" s="17"/>
      <c r="M72" s="17"/>
      <c r="N72" s="10"/>
      <c r="O72" s="10"/>
    </row>
    <row r="73" spans="1:15" s="38" customFormat="1" ht="12" customHeight="1">
      <c r="A73" s="18"/>
      <c r="B73" s="14"/>
      <c r="C73" s="19"/>
      <c r="D73" s="19"/>
      <c r="E73" s="19"/>
      <c r="F73" s="19"/>
      <c r="G73" s="19"/>
      <c r="H73" s="21"/>
      <c r="I73" s="21"/>
      <c r="K73" s="17"/>
      <c r="L73" s="17"/>
      <c r="M73" s="17"/>
      <c r="N73" s="10"/>
      <c r="O73" s="10"/>
    </row>
    <row r="74" spans="1:15" s="38" customFormat="1" ht="12" customHeight="1">
      <c r="A74" s="18"/>
      <c r="B74" s="14"/>
      <c r="C74" s="19"/>
      <c r="D74" s="19"/>
      <c r="E74" s="19"/>
      <c r="F74" s="19"/>
      <c r="G74" s="19"/>
      <c r="H74" s="21"/>
      <c r="I74" s="21"/>
      <c r="K74" s="17"/>
      <c r="L74" s="17"/>
      <c r="M74" s="17"/>
      <c r="N74" s="10"/>
      <c r="O74" s="10"/>
    </row>
    <row r="75" spans="1:15" s="38" customFormat="1" ht="12" customHeight="1">
      <c r="A75" s="18"/>
      <c r="B75" s="14"/>
      <c r="C75" s="19"/>
      <c r="D75" s="19"/>
      <c r="E75" s="19"/>
      <c r="F75" s="19"/>
      <c r="G75" s="19"/>
      <c r="H75" s="21"/>
      <c r="I75" s="21"/>
      <c r="K75" s="17"/>
      <c r="L75" s="17"/>
      <c r="M75" s="17"/>
      <c r="N75" s="10"/>
      <c r="O75" s="10"/>
    </row>
    <row r="76" spans="1:15" s="38" customFormat="1" ht="12" customHeight="1">
      <c r="A76" s="18"/>
      <c r="B76" s="14"/>
      <c r="C76" s="19"/>
      <c r="D76" s="19"/>
      <c r="E76" s="19"/>
      <c r="F76" s="19"/>
      <c r="G76" s="19"/>
      <c r="H76" s="21"/>
      <c r="I76" s="21"/>
      <c r="K76" s="17"/>
      <c r="L76" s="17"/>
      <c r="M76" s="17"/>
      <c r="N76" s="10"/>
      <c r="O76" s="10"/>
    </row>
    <row r="77" spans="1:15" s="38" customFormat="1" ht="12" customHeight="1">
      <c r="A77" s="18"/>
      <c r="B77" s="14"/>
      <c r="C77" s="19"/>
      <c r="D77" s="19"/>
      <c r="E77" s="19"/>
      <c r="F77" s="19"/>
      <c r="G77" s="19"/>
      <c r="H77" s="21"/>
      <c r="I77" s="21"/>
      <c r="K77" s="17"/>
      <c r="L77" s="17"/>
      <c r="M77" s="17"/>
      <c r="N77" s="10"/>
      <c r="O77" s="10"/>
    </row>
    <row r="78" spans="1:15" s="38" customFormat="1" ht="12" customHeight="1">
      <c r="A78" s="18"/>
      <c r="B78" s="14"/>
      <c r="C78" s="19"/>
      <c r="D78" s="19"/>
      <c r="E78" s="19"/>
      <c r="F78" s="19"/>
      <c r="G78" s="19"/>
      <c r="H78" s="21"/>
      <c r="I78" s="21"/>
      <c r="K78" s="17"/>
      <c r="L78" s="17"/>
      <c r="M78" s="17"/>
      <c r="N78" s="10"/>
      <c r="O78" s="10"/>
    </row>
    <row r="79" spans="1:15" s="38" customFormat="1" ht="12" customHeight="1">
      <c r="A79" s="18"/>
      <c r="B79" s="14"/>
      <c r="C79" s="19"/>
      <c r="D79" s="19"/>
      <c r="E79" s="19"/>
      <c r="F79" s="19"/>
      <c r="G79" s="19"/>
      <c r="H79" s="21"/>
      <c r="I79" s="21"/>
      <c r="K79" s="17"/>
      <c r="L79" s="17"/>
      <c r="M79" s="17"/>
      <c r="N79" s="10"/>
      <c r="O79" s="10"/>
    </row>
    <row r="80" spans="1:15" s="38" customFormat="1" ht="12" customHeight="1">
      <c r="A80" s="18"/>
      <c r="B80" s="14"/>
      <c r="C80" s="19"/>
      <c r="D80" s="19"/>
      <c r="E80" s="19"/>
      <c r="F80" s="19"/>
      <c r="G80" s="19"/>
      <c r="H80" s="21"/>
      <c r="I80" s="21"/>
      <c r="K80" s="17"/>
      <c r="L80" s="17"/>
      <c r="M80" s="17"/>
      <c r="N80" s="10"/>
      <c r="O80" s="10"/>
    </row>
    <row r="81" spans="1:15" s="38" customFormat="1" ht="12" customHeight="1">
      <c r="A81" s="18"/>
      <c r="B81" s="14"/>
      <c r="C81" s="19"/>
      <c r="D81" s="19"/>
      <c r="E81" s="19"/>
      <c r="F81" s="19"/>
      <c r="G81" s="19"/>
      <c r="H81" s="21"/>
      <c r="I81" s="21"/>
      <c r="K81" s="17"/>
      <c r="L81" s="17"/>
      <c r="M81" s="17"/>
      <c r="N81" s="10"/>
      <c r="O81" s="10"/>
    </row>
    <row r="82" spans="1:15" s="38" customFormat="1" ht="12" customHeight="1">
      <c r="A82" s="18"/>
      <c r="B82" s="14"/>
      <c r="C82" s="19"/>
      <c r="D82" s="19"/>
      <c r="E82" s="19"/>
      <c r="F82" s="19"/>
      <c r="G82" s="19"/>
      <c r="H82" s="21"/>
      <c r="I82" s="21"/>
      <c r="K82" s="17"/>
      <c r="L82" s="17"/>
      <c r="M82" s="17"/>
      <c r="N82" s="10"/>
      <c r="O82" s="10"/>
    </row>
    <row r="83" spans="1:15" s="38" customFormat="1" ht="12" customHeight="1">
      <c r="A83" s="18"/>
      <c r="B83" s="14"/>
      <c r="C83" s="19"/>
      <c r="D83" s="19"/>
      <c r="E83" s="19"/>
      <c r="F83" s="19"/>
      <c r="G83" s="19"/>
      <c r="H83" s="21"/>
      <c r="I83" s="21"/>
      <c r="K83" s="17"/>
      <c r="L83" s="17"/>
      <c r="M83" s="17"/>
      <c r="N83" s="10"/>
      <c r="O83" s="10"/>
    </row>
    <row r="84" spans="1:15" s="38" customFormat="1" ht="12" customHeight="1">
      <c r="A84" s="18"/>
      <c r="B84" s="14"/>
      <c r="C84" s="19"/>
      <c r="D84" s="19"/>
      <c r="E84" s="19"/>
      <c r="F84" s="19"/>
      <c r="G84" s="19"/>
      <c r="H84" s="21"/>
      <c r="I84" s="21"/>
      <c r="K84" s="17"/>
      <c r="L84" s="17"/>
      <c r="M84" s="17"/>
      <c r="N84" s="10"/>
      <c r="O84" s="10"/>
    </row>
    <row r="85" spans="1:15" s="38" customFormat="1" ht="12" customHeight="1">
      <c r="A85" s="18"/>
      <c r="B85" s="14"/>
      <c r="C85" s="19"/>
      <c r="D85" s="19"/>
      <c r="E85" s="19"/>
      <c r="F85" s="19"/>
      <c r="G85" s="19"/>
      <c r="H85" s="21"/>
      <c r="I85" s="21"/>
      <c r="K85" s="17"/>
      <c r="L85" s="17"/>
      <c r="M85" s="17"/>
      <c r="N85" s="10"/>
      <c r="O85" s="10"/>
    </row>
    <row r="86" spans="1:15" s="38" customFormat="1" ht="12" customHeight="1">
      <c r="A86" s="18"/>
      <c r="B86" s="14"/>
      <c r="C86" s="19"/>
      <c r="D86" s="19"/>
      <c r="E86" s="19"/>
      <c r="F86" s="19"/>
      <c r="G86" s="19"/>
      <c r="H86" s="21"/>
      <c r="I86" s="21"/>
      <c r="K86" s="17"/>
      <c r="L86" s="17"/>
      <c r="M86" s="17"/>
      <c r="N86" s="10"/>
      <c r="O86" s="10"/>
    </row>
    <row r="87" spans="1:15" s="38" customFormat="1" ht="12" customHeight="1">
      <c r="A87" s="18"/>
      <c r="B87" s="14"/>
      <c r="C87" s="19"/>
      <c r="D87" s="19"/>
      <c r="E87" s="19"/>
      <c r="F87" s="19"/>
      <c r="G87" s="19"/>
      <c r="H87" s="21"/>
      <c r="I87" s="21"/>
      <c r="K87" s="17"/>
      <c r="L87" s="17"/>
      <c r="M87" s="17"/>
      <c r="N87" s="10"/>
      <c r="O87" s="10"/>
    </row>
    <row r="88" spans="1:15" s="38" customFormat="1" ht="12" customHeight="1">
      <c r="A88" s="18"/>
      <c r="B88" s="14"/>
      <c r="C88" s="19"/>
      <c r="D88" s="19"/>
      <c r="E88" s="19"/>
      <c r="F88" s="19"/>
      <c r="G88" s="19"/>
      <c r="H88" s="21"/>
      <c r="I88" s="21"/>
      <c r="K88" s="17"/>
      <c r="L88" s="17"/>
      <c r="M88" s="17"/>
      <c r="N88" s="10"/>
      <c r="O88" s="10"/>
    </row>
    <row r="89" spans="1:15" s="38" customFormat="1" ht="12" customHeight="1">
      <c r="A89" s="18"/>
      <c r="B89" s="14"/>
      <c r="C89" s="19"/>
      <c r="D89" s="19"/>
      <c r="E89" s="19"/>
      <c r="F89" s="19"/>
      <c r="G89" s="19"/>
      <c r="H89" s="21"/>
      <c r="I89" s="21"/>
      <c r="K89" s="17"/>
      <c r="L89" s="17"/>
      <c r="M89" s="17"/>
      <c r="N89" s="10"/>
      <c r="O89" s="10"/>
    </row>
    <row r="90" spans="1:15" s="38" customFormat="1" ht="12" customHeight="1">
      <c r="A90" s="18"/>
      <c r="B90" s="14"/>
      <c r="C90" s="19"/>
      <c r="D90" s="19"/>
      <c r="E90" s="19"/>
      <c r="F90" s="19"/>
      <c r="G90" s="19"/>
      <c r="H90" s="21"/>
      <c r="I90" s="21"/>
      <c r="K90" s="17"/>
      <c r="L90" s="17"/>
      <c r="M90" s="17"/>
      <c r="N90" s="10"/>
      <c r="O90" s="10"/>
    </row>
    <row r="91" spans="1:15" s="38" customFormat="1" ht="12" customHeight="1">
      <c r="A91" s="18"/>
      <c r="B91" s="14"/>
      <c r="C91" s="19"/>
      <c r="D91" s="19"/>
      <c r="E91" s="19"/>
      <c r="F91" s="19"/>
      <c r="G91" s="19"/>
      <c r="H91" s="21"/>
      <c r="I91" s="21"/>
      <c r="K91" s="17"/>
      <c r="L91" s="17"/>
      <c r="M91" s="17"/>
      <c r="N91" s="10"/>
      <c r="O91" s="10"/>
    </row>
    <row r="92" spans="1:15" s="38" customFormat="1" ht="12" customHeight="1">
      <c r="A92" s="18"/>
      <c r="B92" s="14"/>
      <c r="C92" s="19"/>
      <c r="D92" s="19"/>
      <c r="E92" s="19"/>
      <c r="F92" s="19"/>
      <c r="G92" s="19"/>
      <c r="H92" s="21"/>
      <c r="I92" s="21"/>
      <c r="K92" s="17"/>
      <c r="L92" s="17"/>
      <c r="M92" s="17"/>
      <c r="N92" s="10"/>
      <c r="O92" s="10"/>
    </row>
    <row r="93" spans="1:15" s="38" customFormat="1" ht="12" customHeight="1">
      <c r="A93" s="18"/>
      <c r="B93" s="14"/>
      <c r="C93" s="19"/>
      <c r="D93" s="19"/>
      <c r="E93" s="19"/>
      <c r="F93" s="19"/>
      <c r="G93" s="19"/>
      <c r="H93" s="21"/>
      <c r="I93" s="21"/>
      <c r="K93" s="17"/>
      <c r="L93" s="17"/>
      <c r="M93" s="17"/>
      <c r="N93" s="10"/>
      <c r="O93" s="10"/>
    </row>
    <row r="94" spans="1:15" s="38" customFormat="1" ht="12" customHeight="1">
      <c r="A94" s="18"/>
      <c r="B94" s="14"/>
      <c r="C94" s="19"/>
      <c r="D94" s="19"/>
      <c r="E94" s="19"/>
      <c r="F94" s="19"/>
      <c r="G94" s="19"/>
      <c r="H94" s="21"/>
      <c r="I94" s="21"/>
      <c r="K94" s="17"/>
      <c r="L94" s="17"/>
      <c r="M94" s="17"/>
      <c r="N94" s="10"/>
      <c r="O94" s="10"/>
    </row>
    <row r="95" spans="1:15" s="38" customFormat="1" ht="12" customHeight="1">
      <c r="A95" s="18"/>
      <c r="B95" s="14"/>
      <c r="C95" s="19"/>
      <c r="D95" s="19"/>
      <c r="E95" s="19"/>
      <c r="F95" s="19"/>
      <c r="G95" s="19"/>
      <c r="H95" s="21"/>
      <c r="I95" s="21"/>
      <c r="K95" s="17"/>
      <c r="L95" s="17"/>
      <c r="M95" s="17"/>
      <c r="N95" s="10"/>
      <c r="O95" s="10"/>
    </row>
    <row r="96" spans="1:15" s="38" customFormat="1" ht="12" customHeight="1">
      <c r="A96" s="18"/>
      <c r="B96" s="14"/>
      <c r="C96" s="19"/>
      <c r="D96" s="19"/>
      <c r="E96" s="19"/>
      <c r="F96" s="19"/>
      <c r="G96" s="19"/>
      <c r="H96" s="21"/>
      <c r="I96" s="21"/>
      <c r="K96" s="17"/>
      <c r="L96" s="17"/>
      <c r="M96" s="17"/>
      <c r="N96" s="10"/>
      <c r="O96" s="10"/>
    </row>
    <row r="97" spans="1:15" s="38" customFormat="1" ht="12" customHeight="1">
      <c r="A97" s="18"/>
      <c r="B97" s="14"/>
      <c r="C97" s="19"/>
      <c r="D97" s="19"/>
      <c r="E97" s="19"/>
      <c r="F97" s="19"/>
      <c r="G97" s="19"/>
      <c r="H97" s="21"/>
      <c r="I97" s="21"/>
      <c r="K97" s="17"/>
      <c r="L97" s="17"/>
      <c r="M97" s="17"/>
      <c r="N97" s="10"/>
      <c r="O97" s="10"/>
    </row>
    <row r="98" spans="1:15" s="38" customFormat="1" ht="12" customHeight="1">
      <c r="A98" s="18"/>
      <c r="B98" s="14"/>
      <c r="C98" s="19"/>
      <c r="D98" s="19"/>
      <c r="E98" s="19"/>
      <c r="F98" s="19"/>
      <c r="G98" s="19"/>
      <c r="H98" s="21"/>
      <c r="I98" s="21"/>
      <c r="K98" s="17"/>
      <c r="L98" s="17"/>
      <c r="M98" s="17"/>
      <c r="N98" s="10"/>
      <c r="O98" s="10"/>
    </row>
    <row r="99" spans="1:15" s="38" customFormat="1" ht="12" customHeight="1">
      <c r="A99" s="18"/>
      <c r="B99" s="14"/>
      <c r="C99" s="19"/>
      <c r="D99" s="19"/>
      <c r="E99" s="19"/>
      <c r="F99" s="19"/>
      <c r="G99" s="19"/>
      <c r="H99" s="21"/>
      <c r="I99" s="21"/>
      <c r="K99" s="17"/>
      <c r="L99" s="17"/>
      <c r="M99" s="17"/>
      <c r="N99" s="10"/>
      <c r="O99" s="10"/>
    </row>
    <row r="100" spans="1:15" s="38" customFormat="1" ht="12" customHeight="1">
      <c r="A100" s="18"/>
      <c r="B100" s="14"/>
      <c r="C100" s="19"/>
      <c r="D100" s="19"/>
      <c r="E100" s="19"/>
      <c r="F100" s="19"/>
      <c r="G100" s="19"/>
      <c r="H100" s="21"/>
      <c r="I100" s="21"/>
      <c r="K100" s="17"/>
      <c r="L100" s="17"/>
      <c r="M100" s="17"/>
      <c r="N100" s="10"/>
      <c r="O100" s="10"/>
    </row>
    <row r="101" spans="1:15" s="38" customFormat="1" ht="12" customHeight="1">
      <c r="A101" s="18"/>
      <c r="B101" s="14"/>
      <c r="C101" s="19"/>
      <c r="D101" s="19"/>
      <c r="E101" s="19"/>
      <c r="F101" s="19"/>
      <c r="G101" s="19"/>
      <c r="H101" s="21"/>
      <c r="I101" s="21"/>
      <c r="K101" s="17"/>
      <c r="L101" s="17"/>
      <c r="M101" s="17"/>
      <c r="N101" s="10"/>
      <c r="O101" s="10"/>
    </row>
    <row r="102" spans="1:15" s="38" customFormat="1" ht="12" customHeight="1">
      <c r="A102" s="18"/>
      <c r="B102" s="14"/>
      <c r="C102" s="19"/>
      <c r="D102" s="19"/>
      <c r="E102" s="19"/>
      <c r="F102" s="19"/>
      <c r="G102" s="19"/>
      <c r="H102" s="21"/>
      <c r="I102" s="21"/>
      <c r="K102" s="17"/>
      <c r="L102" s="17"/>
      <c r="M102" s="17"/>
      <c r="N102" s="10"/>
      <c r="O102" s="10"/>
    </row>
    <row r="103" spans="1:15" s="38" customFormat="1" ht="12" customHeight="1">
      <c r="A103" s="18"/>
      <c r="B103" s="14"/>
      <c r="C103" s="19"/>
      <c r="D103" s="19"/>
      <c r="E103" s="19"/>
      <c r="F103" s="19"/>
      <c r="G103" s="19"/>
      <c r="H103" s="21"/>
      <c r="I103" s="21"/>
      <c r="K103" s="17"/>
      <c r="L103" s="17"/>
      <c r="M103" s="17"/>
      <c r="N103" s="10"/>
      <c r="O103" s="10"/>
    </row>
    <row r="104" spans="1:15" s="38" customFormat="1" ht="12" customHeight="1">
      <c r="A104" s="18"/>
      <c r="B104" s="14"/>
      <c r="C104" s="19"/>
      <c r="D104" s="19"/>
      <c r="E104" s="19"/>
      <c r="F104" s="19"/>
      <c r="G104" s="19"/>
      <c r="H104" s="21"/>
      <c r="I104" s="21"/>
      <c r="K104" s="17"/>
      <c r="L104" s="17"/>
      <c r="M104" s="17"/>
      <c r="N104" s="10"/>
      <c r="O104" s="10"/>
    </row>
    <row r="105" spans="1:15" s="38" customFormat="1" ht="12" customHeight="1">
      <c r="A105" s="18"/>
      <c r="B105" s="14"/>
      <c r="C105" s="19"/>
      <c r="D105" s="19"/>
      <c r="E105" s="19"/>
      <c r="F105" s="19"/>
      <c r="G105" s="19"/>
      <c r="H105" s="21"/>
      <c r="I105" s="21"/>
      <c r="K105" s="17"/>
      <c r="L105" s="17"/>
      <c r="M105" s="17"/>
      <c r="N105" s="10"/>
      <c r="O105" s="10"/>
    </row>
    <row r="106" spans="1:15" s="38" customFormat="1" ht="12" customHeight="1">
      <c r="A106" s="18"/>
      <c r="B106" s="14"/>
      <c r="C106" s="19"/>
      <c r="D106" s="19"/>
      <c r="E106" s="19"/>
      <c r="F106" s="19"/>
      <c r="G106" s="19"/>
      <c r="H106" s="21"/>
      <c r="I106" s="21"/>
      <c r="K106" s="17"/>
      <c r="L106" s="17"/>
      <c r="M106" s="17"/>
      <c r="N106" s="10"/>
      <c r="O106" s="10"/>
    </row>
    <row r="107" spans="1:15" s="38" customFormat="1" ht="12" customHeight="1">
      <c r="A107" s="18"/>
      <c r="B107" s="14"/>
      <c r="C107" s="19"/>
      <c r="D107" s="19"/>
      <c r="E107" s="19"/>
      <c r="F107" s="19"/>
      <c r="G107" s="19"/>
      <c r="H107" s="21"/>
      <c r="I107" s="21"/>
      <c r="K107" s="17"/>
      <c r="L107" s="17"/>
      <c r="M107" s="17"/>
      <c r="N107" s="10"/>
      <c r="O107" s="10"/>
    </row>
    <row r="108" spans="1:15" s="38" customFormat="1" ht="12" customHeight="1">
      <c r="A108" s="18"/>
      <c r="B108" s="14"/>
      <c r="C108" s="19"/>
      <c r="D108" s="19"/>
      <c r="E108" s="19"/>
      <c r="F108" s="19"/>
      <c r="G108" s="19"/>
      <c r="H108" s="21"/>
      <c r="I108" s="21"/>
      <c r="K108" s="17"/>
      <c r="L108" s="17"/>
      <c r="M108" s="17"/>
      <c r="N108" s="10"/>
      <c r="O108" s="10"/>
    </row>
    <row r="109" spans="1:15" s="38" customFormat="1" ht="12" customHeight="1">
      <c r="A109" s="18"/>
      <c r="B109" s="14"/>
      <c r="C109" s="19"/>
      <c r="D109" s="19"/>
      <c r="E109" s="19"/>
      <c r="F109" s="19"/>
      <c r="G109" s="19"/>
      <c r="H109" s="21"/>
      <c r="I109" s="21"/>
      <c r="K109" s="17"/>
      <c r="L109" s="17"/>
      <c r="M109" s="17"/>
      <c r="N109" s="10"/>
      <c r="O109" s="10"/>
    </row>
    <row r="110" spans="1:15" s="38" customFormat="1" ht="12" customHeight="1">
      <c r="A110" s="18"/>
      <c r="B110" s="14"/>
      <c r="C110" s="19"/>
      <c r="D110" s="19"/>
      <c r="E110" s="19"/>
      <c r="F110" s="19"/>
      <c r="G110" s="19"/>
      <c r="H110" s="21"/>
      <c r="I110" s="21"/>
      <c r="K110" s="17"/>
      <c r="L110" s="17"/>
      <c r="M110" s="17"/>
      <c r="N110" s="10"/>
      <c r="O110" s="10"/>
    </row>
    <row r="111" spans="1:15" s="38" customFormat="1" ht="12" customHeight="1">
      <c r="A111" s="18"/>
      <c r="B111" s="14"/>
      <c r="C111" s="19"/>
      <c r="D111" s="19"/>
      <c r="E111" s="19"/>
      <c r="F111" s="19"/>
      <c r="G111" s="19"/>
      <c r="H111" s="21"/>
      <c r="I111" s="21"/>
      <c r="K111" s="17"/>
      <c r="L111" s="17"/>
      <c r="M111" s="17"/>
      <c r="N111" s="10"/>
      <c r="O111" s="10"/>
    </row>
    <row r="112" spans="1:15" s="38" customFormat="1" ht="12" customHeight="1">
      <c r="A112" s="18"/>
      <c r="B112" s="14"/>
      <c r="C112" s="19"/>
      <c r="D112" s="19"/>
      <c r="E112" s="19"/>
      <c r="F112" s="19"/>
      <c r="G112" s="19"/>
      <c r="H112" s="21"/>
      <c r="I112" s="21"/>
      <c r="K112" s="17"/>
      <c r="L112" s="17"/>
      <c r="M112" s="17"/>
      <c r="N112" s="10"/>
      <c r="O112" s="10"/>
    </row>
    <row r="113" spans="1:15" s="38" customFormat="1" ht="12" customHeight="1">
      <c r="A113" s="18"/>
      <c r="B113" s="14"/>
      <c r="C113" s="19"/>
      <c r="D113" s="19"/>
      <c r="E113" s="19"/>
      <c r="F113" s="19"/>
      <c r="G113" s="19"/>
      <c r="H113" s="21"/>
      <c r="I113" s="21"/>
      <c r="K113" s="17"/>
      <c r="L113" s="17"/>
      <c r="M113" s="17"/>
      <c r="N113" s="10"/>
      <c r="O113" s="10"/>
    </row>
    <row r="114" spans="1:15" s="38" customFormat="1" ht="12" customHeight="1">
      <c r="A114" s="18"/>
      <c r="B114" s="14"/>
      <c r="C114" s="19"/>
      <c r="D114" s="19"/>
      <c r="E114" s="19"/>
      <c r="F114" s="19"/>
      <c r="G114" s="19"/>
      <c r="H114" s="21"/>
      <c r="I114" s="21"/>
      <c r="K114" s="17"/>
      <c r="L114" s="17"/>
      <c r="M114" s="17"/>
      <c r="N114" s="10"/>
      <c r="O114" s="10"/>
    </row>
    <row r="115" spans="1:15" s="38" customFormat="1" ht="12" customHeight="1">
      <c r="A115" s="18"/>
      <c r="B115" s="14"/>
      <c r="C115" s="19"/>
      <c r="D115" s="19"/>
      <c r="E115" s="19"/>
      <c r="F115" s="19"/>
      <c r="G115" s="19"/>
      <c r="H115" s="21"/>
      <c r="I115" s="21"/>
      <c r="K115" s="17"/>
      <c r="L115" s="17"/>
      <c r="M115" s="17"/>
      <c r="N115" s="10"/>
      <c r="O115" s="10"/>
    </row>
    <row r="116" spans="1:15" s="38" customFormat="1" ht="12" customHeight="1">
      <c r="A116" s="18"/>
      <c r="B116" s="14"/>
      <c r="C116" s="19"/>
      <c r="D116" s="19"/>
      <c r="E116" s="19"/>
      <c r="F116" s="19"/>
      <c r="G116" s="19"/>
      <c r="H116" s="21"/>
      <c r="I116" s="21"/>
      <c r="K116" s="17"/>
      <c r="L116" s="17"/>
      <c r="M116" s="17"/>
      <c r="N116" s="10"/>
      <c r="O116" s="10"/>
    </row>
    <row r="117" spans="1:15" s="38" customFormat="1" ht="12" customHeight="1">
      <c r="A117" s="18"/>
      <c r="B117" s="14"/>
      <c r="C117" s="19"/>
      <c r="D117" s="19"/>
      <c r="E117" s="19"/>
      <c r="F117" s="19"/>
      <c r="G117" s="19"/>
      <c r="H117" s="21"/>
      <c r="I117" s="21"/>
      <c r="K117" s="17"/>
      <c r="L117" s="17"/>
      <c r="M117" s="17"/>
      <c r="N117" s="10"/>
      <c r="O117" s="10"/>
    </row>
    <row r="118" spans="1:15" s="38" customFormat="1" ht="12" customHeight="1">
      <c r="A118" s="18"/>
      <c r="B118" s="14"/>
      <c r="C118" s="19"/>
      <c r="D118" s="19"/>
      <c r="E118" s="19"/>
      <c r="F118" s="19"/>
      <c r="G118" s="19"/>
      <c r="H118" s="21"/>
      <c r="I118" s="21"/>
      <c r="K118" s="17"/>
      <c r="L118" s="17"/>
      <c r="M118" s="17"/>
      <c r="N118" s="10"/>
      <c r="O118" s="10"/>
    </row>
    <row r="119" spans="1:15" s="38" customFormat="1" ht="12" customHeight="1">
      <c r="A119" s="18"/>
      <c r="B119" s="14"/>
      <c r="C119" s="19"/>
      <c r="D119" s="19"/>
      <c r="E119" s="19"/>
      <c r="F119" s="19"/>
      <c r="G119" s="19"/>
      <c r="H119" s="21"/>
      <c r="I119" s="21"/>
      <c r="K119" s="17"/>
      <c r="L119" s="17"/>
      <c r="M119" s="17"/>
      <c r="N119" s="10"/>
      <c r="O119" s="10"/>
    </row>
    <row r="120" spans="1:15" s="38" customFormat="1" ht="12" customHeight="1">
      <c r="A120" s="18"/>
      <c r="B120" s="14"/>
      <c r="C120" s="19"/>
      <c r="D120" s="19"/>
      <c r="E120" s="19"/>
      <c r="F120" s="19"/>
      <c r="G120" s="19"/>
      <c r="H120" s="21"/>
      <c r="I120" s="21"/>
      <c r="K120" s="17"/>
      <c r="L120" s="17"/>
      <c r="M120" s="17"/>
      <c r="N120" s="10"/>
      <c r="O120" s="10"/>
    </row>
    <row r="121" spans="1:15" s="38" customFormat="1" ht="12" customHeight="1">
      <c r="A121" s="18"/>
      <c r="B121" s="14"/>
      <c r="C121" s="19"/>
      <c r="D121" s="19"/>
      <c r="E121" s="19"/>
      <c r="F121" s="19"/>
      <c r="G121" s="19"/>
      <c r="H121" s="21"/>
      <c r="I121" s="21"/>
      <c r="K121" s="17"/>
      <c r="L121" s="17"/>
      <c r="M121" s="17"/>
      <c r="N121" s="10"/>
      <c r="O121" s="10"/>
    </row>
  </sheetData>
  <mergeCells count="16">
    <mergeCell ref="B16:M16"/>
    <mergeCell ref="B9:M9"/>
    <mergeCell ref="E4:E5"/>
    <mergeCell ref="F4:G4"/>
    <mergeCell ref="B4:B5"/>
    <mergeCell ref="C4:C5"/>
    <mergeCell ref="D4:D5"/>
    <mergeCell ref="H4:J4"/>
    <mergeCell ref="K4:K5"/>
    <mergeCell ref="L4:L5"/>
    <mergeCell ref="M4:M5"/>
    <mergeCell ref="N4:N5"/>
    <mergeCell ref="O4:O5"/>
    <mergeCell ref="A7:M7"/>
    <mergeCell ref="A8:M8"/>
    <mergeCell ref="A4:A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2"/>
  <sheetViews>
    <sheetView view="pageBreakPreview" zoomScaleNormal="85" zoomScaleSheetLayoutView="100" workbookViewId="0">
      <pane xSplit="3" topLeftCell="D1" activePane="topRight" state="frozen"/>
      <selection activeCell="B6" sqref="B6"/>
      <selection pane="topRight" activeCell="A2" sqref="A2"/>
    </sheetView>
  </sheetViews>
  <sheetFormatPr defaultRowHeight="12" customHeight="1"/>
  <cols>
    <col min="1" max="1" width="4.33203125" style="18" bestFit="1" customWidth="1"/>
    <col min="2" max="2" width="28.88671875" style="14" customWidth="1"/>
    <col min="3" max="3" width="28.5546875" style="14" customWidth="1"/>
    <col min="4" max="4" width="10.5546875" style="14" customWidth="1"/>
    <col min="5" max="5" width="9.664062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1" width="9.5546875" style="17" bestFit="1" customWidth="1"/>
    <col min="12" max="12" width="8.44140625" style="17" customWidth="1"/>
    <col min="13" max="13" width="7.88671875" style="17" customWidth="1"/>
    <col min="14" max="14" width="8.88671875" style="10"/>
    <col min="15" max="15" width="9.77734375" style="10" customWidth="1"/>
    <col min="16" max="16384" width="8.88671875" style="10"/>
  </cols>
  <sheetData>
    <row r="1" spans="1:16" s="7" customFormat="1" ht="50.1" customHeight="1">
      <c r="A1" s="95"/>
      <c r="B1" s="724" t="s">
        <v>698</v>
      </c>
      <c r="C1" s="98" t="s">
        <v>569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6" customFormat="1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57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6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4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4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4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4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4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6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pans="1:15" s="36" customFormat="1" ht="20.100000000000001" customHeight="1">
      <c r="B17" s="39"/>
      <c r="C17" s="39"/>
      <c r="D17" s="39"/>
      <c r="E17" s="39"/>
      <c r="F17" s="35"/>
      <c r="G17" s="35"/>
      <c r="J17" s="97"/>
      <c r="K17" s="37"/>
      <c r="L17" s="37"/>
      <c r="M17" s="37"/>
    </row>
    <row r="18" spans="1:15" s="36" customFormat="1" ht="20.100000000000001" customHeight="1">
      <c r="B18" s="39"/>
      <c r="C18" s="39"/>
      <c r="D18" s="39"/>
      <c r="E18" s="39"/>
      <c r="F18" s="35"/>
      <c r="G18" s="35"/>
      <c r="J18" s="97"/>
      <c r="K18" s="37"/>
      <c r="L18" s="37"/>
      <c r="M18" s="37"/>
    </row>
    <row r="19" spans="1:15" s="57" customFormat="1" ht="20.100000000000001" customHeight="1">
      <c r="A19" s="35"/>
      <c r="B19" s="35"/>
      <c r="C19" s="35"/>
      <c r="D19" s="35"/>
      <c r="E19" s="35"/>
      <c r="F19" s="58"/>
      <c r="G19" s="58"/>
      <c r="H19" s="36"/>
      <c r="I19" s="36"/>
      <c r="J19" s="69"/>
      <c r="K19" s="59"/>
      <c r="L19" s="59"/>
      <c r="M19" s="59"/>
    </row>
    <row r="20" spans="1:15" s="57" customFormat="1" ht="20.100000000000001" customHeight="1">
      <c r="A20" s="708"/>
      <c r="B20" s="58"/>
      <c r="C20" s="58"/>
      <c r="D20" s="58"/>
      <c r="E20" s="58"/>
      <c r="F20" s="709"/>
      <c r="G20" s="709"/>
      <c r="H20" s="36"/>
      <c r="I20" s="36"/>
      <c r="J20" s="710"/>
      <c r="K20" s="59"/>
      <c r="L20" s="59"/>
      <c r="M20" s="59"/>
    </row>
    <row r="21" spans="1:15" s="57" customFormat="1" ht="20.100000000000001" customHeight="1">
      <c r="A21" s="708"/>
      <c r="B21" s="85"/>
      <c r="C21" s="709"/>
      <c r="D21" s="709"/>
      <c r="E21" s="709"/>
      <c r="F21" s="709"/>
      <c r="G21" s="709"/>
      <c r="H21" s="36"/>
      <c r="I21" s="36"/>
      <c r="J21" s="710"/>
      <c r="K21" s="59"/>
      <c r="L21" s="59"/>
      <c r="M21" s="59"/>
    </row>
    <row r="22" spans="1:15" s="57" customFormat="1" ht="20.100000000000001" customHeight="1">
      <c r="A22" s="708"/>
      <c r="B22" s="85"/>
      <c r="C22" s="709"/>
      <c r="D22" s="709"/>
      <c r="E22" s="709"/>
      <c r="F22" s="709"/>
      <c r="G22" s="709"/>
      <c r="H22" s="36"/>
      <c r="I22" s="36"/>
      <c r="J22" s="710"/>
      <c r="K22" s="59"/>
      <c r="L22" s="59"/>
      <c r="M22" s="59"/>
    </row>
    <row r="23" spans="1:15" s="57" customFormat="1" ht="12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59"/>
      <c r="L23" s="59"/>
      <c r="M23" s="59"/>
    </row>
    <row r="24" spans="1:15" s="57" customFormat="1" ht="12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59"/>
      <c r="L24" s="59"/>
      <c r="M24" s="59"/>
    </row>
    <row r="25" spans="1:15" s="57" customFormat="1" ht="12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59"/>
      <c r="L25" s="59"/>
      <c r="M25" s="59"/>
    </row>
    <row r="26" spans="1:15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59"/>
      <c r="L26" s="59"/>
      <c r="M26" s="59"/>
    </row>
    <row r="27" spans="1:15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59"/>
      <c r="L27" s="59"/>
      <c r="M27" s="59"/>
    </row>
    <row r="28" spans="1:15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59"/>
      <c r="L28" s="59"/>
      <c r="M28" s="59"/>
    </row>
    <row r="29" spans="1:15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59"/>
      <c r="L29" s="59"/>
      <c r="M29" s="59"/>
    </row>
    <row r="30" spans="1:15" s="57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J30" s="710"/>
      <c r="K30" s="59"/>
      <c r="L30" s="59"/>
      <c r="M30" s="59"/>
    </row>
    <row r="31" spans="1:15" s="57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J31" s="710"/>
      <c r="K31" s="59"/>
      <c r="L31" s="59"/>
      <c r="M31" s="59"/>
    </row>
    <row r="32" spans="1:15" s="710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K32" s="59"/>
      <c r="L32" s="59"/>
      <c r="M32" s="59"/>
      <c r="N32" s="57"/>
      <c r="O32" s="57"/>
    </row>
    <row r="33" spans="1:15" s="710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K33" s="59"/>
      <c r="L33" s="59"/>
      <c r="M33" s="59"/>
      <c r="N33" s="57"/>
      <c r="O33" s="57"/>
    </row>
    <row r="34" spans="1:15" s="710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K34" s="59"/>
      <c r="L34" s="59"/>
      <c r="M34" s="59"/>
      <c r="N34" s="57"/>
      <c r="O34" s="57"/>
    </row>
    <row r="35" spans="1:15" s="710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K35" s="59"/>
      <c r="L35" s="59"/>
      <c r="M35" s="59"/>
      <c r="N35" s="57"/>
      <c r="O35" s="57"/>
    </row>
    <row r="36" spans="1:15" s="710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K36" s="59"/>
      <c r="L36" s="59"/>
      <c r="M36" s="59"/>
      <c r="N36" s="57"/>
      <c r="O36" s="57"/>
    </row>
    <row r="37" spans="1:15" s="710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K37" s="59"/>
      <c r="L37" s="59"/>
      <c r="M37" s="59"/>
      <c r="N37" s="57"/>
      <c r="O37" s="57"/>
    </row>
    <row r="38" spans="1:15" s="710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K38" s="59"/>
      <c r="L38" s="59"/>
      <c r="M38" s="59"/>
      <c r="N38" s="57"/>
      <c r="O38" s="57"/>
    </row>
    <row r="39" spans="1:15" s="710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K39" s="59"/>
      <c r="L39" s="59"/>
      <c r="M39" s="59"/>
      <c r="N39" s="57"/>
      <c r="O39" s="57"/>
    </row>
    <row r="40" spans="1:15" s="710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K40" s="59"/>
      <c r="L40" s="59"/>
      <c r="M40" s="59"/>
      <c r="N40" s="57"/>
      <c r="O40" s="57"/>
    </row>
    <row r="41" spans="1:15" s="710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K41" s="59"/>
      <c r="L41" s="59"/>
      <c r="M41" s="59"/>
      <c r="N41" s="57"/>
      <c r="O41" s="57"/>
    </row>
    <row r="42" spans="1:15" s="710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K42" s="59"/>
      <c r="L42" s="59"/>
      <c r="M42" s="59"/>
      <c r="N42" s="57"/>
      <c r="O42" s="57"/>
    </row>
    <row r="43" spans="1:15" s="710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K43" s="59"/>
      <c r="L43" s="59"/>
      <c r="M43" s="59"/>
      <c r="N43" s="57"/>
      <c r="O43" s="57"/>
    </row>
    <row r="44" spans="1:15" s="710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K44" s="59"/>
      <c r="L44" s="59"/>
      <c r="M44" s="59"/>
      <c r="N44" s="57"/>
      <c r="O44" s="57"/>
    </row>
    <row r="45" spans="1:15" s="710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K45" s="59"/>
      <c r="L45" s="59"/>
      <c r="M45" s="59"/>
      <c r="N45" s="57"/>
      <c r="O45" s="57"/>
    </row>
    <row r="46" spans="1:15" s="710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K46" s="59"/>
      <c r="L46" s="59"/>
      <c r="M46" s="59"/>
      <c r="N46" s="57"/>
      <c r="O46" s="57"/>
    </row>
    <row r="47" spans="1:15" s="710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K47" s="59"/>
      <c r="L47" s="59"/>
      <c r="M47" s="59"/>
      <c r="N47" s="57"/>
      <c r="O47" s="57"/>
    </row>
    <row r="48" spans="1:15" s="710" customFormat="1" ht="12" customHeight="1">
      <c r="A48" s="708"/>
      <c r="B48" s="85"/>
      <c r="C48" s="709"/>
      <c r="D48" s="709"/>
      <c r="E48" s="709"/>
      <c r="F48" s="709"/>
      <c r="G48" s="709"/>
      <c r="H48" s="36"/>
      <c r="I48" s="36"/>
      <c r="K48" s="59"/>
      <c r="L48" s="59"/>
      <c r="M48" s="59"/>
      <c r="N48" s="57"/>
      <c r="O48" s="57"/>
    </row>
    <row r="49" spans="1:15" s="710" customFormat="1" ht="12" customHeight="1">
      <c r="A49" s="708"/>
      <c r="B49" s="85"/>
      <c r="C49" s="709"/>
      <c r="D49" s="709"/>
      <c r="E49" s="709"/>
      <c r="F49" s="709"/>
      <c r="G49" s="709"/>
      <c r="H49" s="36"/>
      <c r="I49" s="36"/>
      <c r="K49" s="59"/>
      <c r="L49" s="59"/>
      <c r="M49" s="59"/>
      <c r="N49" s="57"/>
      <c r="O49" s="57"/>
    </row>
    <row r="50" spans="1:15" s="710" customFormat="1" ht="12" customHeight="1">
      <c r="A50" s="708"/>
      <c r="B50" s="85"/>
      <c r="C50" s="709"/>
      <c r="D50" s="709"/>
      <c r="E50" s="709"/>
      <c r="F50" s="709"/>
      <c r="G50" s="709"/>
      <c r="H50" s="36"/>
      <c r="I50" s="36"/>
      <c r="K50" s="59"/>
      <c r="L50" s="59"/>
      <c r="M50" s="59"/>
      <c r="N50" s="57"/>
      <c r="O50" s="57"/>
    </row>
    <row r="51" spans="1:15" s="38" customFormat="1" ht="12" customHeight="1">
      <c r="A51" s="18"/>
      <c r="B51" s="14"/>
      <c r="C51" s="19"/>
      <c r="D51" s="19"/>
      <c r="E51" s="19"/>
      <c r="F51" s="19"/>
      <c r="G51" s="19"/>
      <c r="H51" s="21"/>
      <c r="I51" s="21"/>
      <c r="K51" s="17"/>
      <c r="L51" s="17"/>
      <c r="M51" s="17"/>
      <c r="N51" s="10"/>
      <c r="O51" s="10"/>
    </row>
    <row r="52" spans="1:15" s="38" customFormat="1" ht="12" customHeight="1">
      <c r="A52" s="18"/>
      <c r="B52" s="14"/>
      <c r="C52" s="19"/>
      <c r="D52" s="19"/>
      <c r="E52" s="19"/>
      <c r="F52" s="19"/>
      <c r="G52" s="19"/>
      <c r="H52" s="21"/>
      <c r="I52" s="21"/>
      <c r="K52" s="17"/>
      <c r="L52" s="17"/>
      <c r="M52" s="17"/>
      <c r="N52" s="10"/>
      <c r="O52" s="10"/>
    </row>
    <row r="53" spans="1:15" s="38" customFormat="1" ht="12" customHeight="1">
      <c r="A53" s="18"/>
      <c r="B53" s="14"/>
      <c r="C53" s="19"/>
      <c r="D53" s="19"/>
      <c r="E53" s="19"/>
      <c r="F53" s="19"/>
      <c r="G53" s="19"/>
      <c r="H53" s="21"/>
      <c r="I53" s="21"/>
      <c r="K53" s="17"/>
      <c r="L53" s="17"/>
      <c r="M53" s="17"/>
      <c r="N53" s="10"/>
      <c r="O53" s="10"/>
    </row>
    <row r="54" spans="1:15" s="38" customFormat="1" ht="12" customHeight="1">
      <c r="A54" s="18"/>
      <c r="B54" s="14"/>
      <c r="C54" s="19"/>
      <c r="D54" s="19"/>
      <c r="E54" s="19"/>
      <c r="F54" s="19"/>
      <c r="G54" s="19"/>
      <c r="H54" s="21"/>
      <c r="I54" s="21"/>
      <c r="K54" s="17"/>
      <c r="L54" s="17"/>
      <c r="M54" s="17"/>
      <c r="N54" s="10"/>
      <c r="O54" s="10"/>
    </row>
    <row r="55" spans="1:15" s="38" customFormat="1" ht="12" customHeight="1">
      <c r="A55" s="18"/>
      <c r="B55" s="14"/>
      <c r="C55" s="19"/>
      <c r="D55" s="19"/>
      <c r="E55" s="19"/>
      <c r="F55" s="19"/>
      <c r="G55" s="19"/>
      <c r="H55" s="21"/>
      <c r="I55" s="21"/>
      <c r="K55" s="17"/>
      <c r="L55" s="17"/>
      <c r="M55" s="17"/>
      <c r="N55" s="10"/>
      <c r="O55" s="10"/>
    </row>
    <row r="56" spans="1:15" s="38" customFormat="1" ht="12" customHeight="1">
      <c r="A56" s="18"/>
      <c r="B56" s="14"/>
      <c r="C56" s="19"/>
      <c r="D56" s="19"/>
      <c r="E56" s="19"/>
      <c r="F56" s="19"/>
      <c r="G56" s="19"/>
      <c r="H56" s="21"/>
      <c r="I56" s="21"/>
      <c r="K56" s="17"/>
      <c r="L56" s="17"/>
      <c r="M56" s="17"/>
      <c r="N56" s="10"/>
      <c r="O56" s="10"/>
    </row>
    <row r="57" spans="1:15" s="38" customFormat="1" ht="12" customHeight="1">
      <c r="A57" s="18"/>
      <c r="B57" s="14"/>
      <c r="C57" s="19"/>
      <c r="D57" s="19"/>
      <c r="E57" s="19"/>
      <c r="F57" s="19"/>
      <c r="G57" s="19"/>
      <c r="H57" s="21"/>
      <c r="I57" s="21"/>
      <c r="K57" s="17"/>
      <c r="L57" s="17"/>
      <c r="M57" s="17"/>
      <c r="N57" s="10"/>
      <c r="O57" s="10"/>
    </row>
    <row r="58" spans="1:15" s="38" customFormat="1" ht="12" customHeight="1">
      <c r="A58" s="18"/>
      <c r="B58" s="14"/>
      <c r="C58" s="19"/>
      <c r="D58" s="19"/>
      <c r="E58" s="19"/>
      <c r="F58" s="19"/>
      <c r="G58" s="19"/>
      <c r="H58" s="21"/>
      <c r="I58" s="21"/>
      <c r="K58" s="17"/>
      <c r="L58" s="17"/>
      <c r="M58" s="17"/>
      <c r="N58" s="10"/>
      <c r="O58" s="10"/>
    </row>
    <row r="59" spans="1:15" s="38" customFormat="1" ht="12" customHeight="1">
      <c r="A59" s="18"/>
      <c r="B59" s="14"/>
      <c r="C59" s="19"/>
      <c r="D59" s="19"/>
      <c r="E59" s="19"/>
      <c r="F59" s="19"/>
      <c r="G59" s="19"/>
      <c r="H59" s="21"/>
      <c r="I59" s="21"/>
      <c r="K59" s="17"/>
      <c r="L59" s="17"/>
      <c r="M59" s="17"/>
      <c r="N59" s="10"/>
      <c r="O59" s="10"/>
    </row>
    <row r="60" spans="1:15" s="38" customFormat="1" ht="12" customHeight="1">
      <c r="A60" s="18"/>
      <c r="B60" s="14"/>
      <c r="C60" s="19"/>
      <c r="D60" s="19"/>
      <c r="E60" s="19"/>
      <c r="F60" s="19"/>
      <c r="G60" s="19"/>
      <c r="H60" s="21"/>
      <c r="I60" s="21"/>
      <c r="K60" s="17"/>
      <c r="L60" s="17"/>
      <c r="M60" s="17"/>
      <c r="N60" s="10"/>
      <c r="O60" s="10"/>
    </row>
    <row r="61" spans="1:15" s="38" customFormat="1" ht="12" customHeight="1">
      <c r="A61" s="18"/>
      <c r="B61" s="14"/>
      <c r="C61" s="19"/>
      <c r="D61" s="19"/>
      <c r="E61" s="19"/>
      <c r="F61" s="19"/>
      <c r="G61" s="19"/>
      <c r="H61" s="21"/>
      <c r="I61" s="21"/>
      <c r="K61" s="17"/>
      <c r="L61" s="17"/>
      <c r="M61" s="17"/>
      <c r="N61" s="10"/>
      <c r="O61" s="10"/>
    </row>
    <row r="62" spans="1:15" s="38" customFormat="1" ht="12" customHeight="1">
      <c r="A62" s="18"/>
      <c r="B62" s="14"/>
      <c r="C62" s="19"/>
      <c r="D62" s="19"/>
      <c r="E62" s="19"/>
      <c r="F62" s="19"/>
      <c r="G62" s="19"/>
      <c r="H62" s="21"/>
      <c r="I62" s="21"/>
      <c r="K62" s="17"/>
      <c r="L62" s="17"/>
      <c r="M62" s="17"/>
      <c r="N62" s="10"/>
      <c r="O62" s="10"/>
    </row>
    <row r="63" spans="1:15" s="38" customFormat="1" ht="12" customHeight="1">
      <c r="A63" s="18"/>
      <c r="B63" s="14"/>
      <c r="C63" s="19"/>
      <c r="D63" s="19"/>
      <c r="E63" s="19"/>
      <c r="F63" s="19"/>
      <c r="G63" s="19"/>
      <c r="H63" s="21"/>
      <c r="I63" s="21"/>
      <c r="K63" s="17"/>
      <c r="L63" s="17"/>
      <c r="M63" s="17"/>
      <c r="N63" s="10"/>
      <c r="O63" s="10"/>
    </row>
    <row r="64" spans="1:15" s="38" customFormat="1" ht="12" customHeight="1">
      <c r="A64" s="18"/>
      <c r="B64" s="14"/>
      <c r="C64" s="19"/>
      <c r="D64" s="19"/>
      <c r="E64" s="19"/>
      <c r="F64" s="19"/>
      <c r="G64" s="19"/>
      <c r="H64" s="21"/>
      <c r="I64" s="21"/>
      <c r="K64" s="17"/>
      <c r="L64" s="17"/>
      <c r="M64" s="17"/>
      <c r="N64" s="10"/>
      <c r="O64" s="10"/>
    </row>
    <row r="65" spans="1:15" s="38" customFormat="1" ht="12" customHeight="1">
      <c r="A65" s="18"/>
      <c r="B65" s="14"/>
      <c r="C65" s="19"/>
      <c r="D65" s="19"/>
      <c r="E65" s="19"/>
      <c r="F65" s="19"/>
      <c r="G65" s="19"/>
      <c r="H65" s="21"/>
      <c r="I65" s="21"/>
      <c r="K65" s="17"/>
      <c r="L65" s="17"/>
      <c r="M65" s="17"/>
      <c r="N65" s="10"/>
      <c r="O65" s="10"/>
    </row>
    <row r="66" spans="1:15" s="38" customFormat="1" ht="12" customHeight="1">
      <c r="A66" s="18"/>
      <c r="B66" s="14"/>
      <c r="C66" s="19"/>
      <c r="D66" s="19"/>
      <c r="E66" s="19"/>
      <c r="F66" s="19"/>
      <c r="G66" s="19"/>
      <c r="H66" s="21"/>
      <c r="I66" s="21"/>
      <c r="K66" s="17"/>
      <c r="L66" s="17"/>
      <c r="M66" s="17"/>
      <c r="N66" s="10"/>
      <c r="O66" s="10"/>
    </row>
    <row r="67" spans="1:15" s="38" customFormat="1" ht="12" customHeight="1">
      <c r="A67" s="18"/>
      <c r="B67" s="14"/>
      <c r="C67" s="19"/>
      <c r="D67" s="19"/>
      <c r="E67" s="19"/>
      <c r="F67" s="19"/>
      <c r="G67" s="19"/>
      <c r="H67" s="21"/>
      <c r="I67" s="21"/>
      <c r="K67" s="17"/>
      <c r="L67" s="17"/>
      <c r="M67" s="17"/>
      <c r="N67" s="10"/>
      <c r="O67" s="10"/>
    </row>
    <row r="68" spans="1:15" s="38" customFormat="1" ht="12" customHeight="1">
      <c r="A68" s="18"/>
      <c r="B68" s="14"/>
      <c r="C68" s="19"/>
      <c r="D68" s="19"/>
      <c r="E68" s="19"/>
      <c r="F68" s="19"/>
      <c r="G68" s="19"/>
      <c r="H68" s="21"/>
      <c r="I68" s="21"/>
      <c r="K68" s="17"/>
      <c r="L68" s="17"/>
      <c r="M68" s="17"/>
      <c r="N68" s="10"/>
      <c r="O68" s="10"/>
    </row>
    <row r="69" spans="1:15" s="38" customFormat="1" ht="12" customHeight="1">
      <c r="A69" s="18"/>
      <c r="B69" s="14"/>
      <c r="C69" s="19"/>
      <c r="D69" s="19"/>
      <c r="E69" s="19"/>
      <c r="F69" s="19"/>
      <c r="G69" s="19"/>
      <c r="H69" s="21"/>
      <c r="I69" s="21"/>
      <c r="K69" s="17"/>
      <c r="L69" s="17"/>
      <c r="M69" s="17"/>
      <c r="N69" s="10"/>
      <c r="O69" s="10"/>
    </row>
    <row r="70" spans="1:15" s="38" customFormat="1" ht="12" customHeight="1">
      <c r="A70" s="18"/>
      <c r="B70" s="14"/>
      <c r="C70" s="19"/>
      <c r="D70" s="19"/>
      <c r="E70" s="19"/>
      <c r="F70" s="19"/>
      <c r="G70" s="19"/>
      <c r="H70" s="21"/>
      <c r="I70" s="21"/>
      <c r="K70" s="17"/>
      <c r="L70" s="17"/>
      <c r="M70" s="17"/>
      <c r="N70" s="10"/>
      <c r="O70" s="10"/>
    </row>
    <row r="71" spans="1:15" s="38" customFormat="1" ht="12" customHeight="1">
      <c r="A71" s="18"/>
      <c r="B71" s="14"/>
      <c r="C71" s="19"/>
      <c r="D71" s="19"/>
      <c r="E71" s="19"/>
      <c r="F71" s="19"/>
      <c r="G71" s="19"/>
      <c r="H71" s="21"/>
      <c r="I71" s="21"/>
      <c r="K71" s="17"/>
      <c r="L71" s="17"/>
      <c r="M71" s="17"/>
      <c r="N71" s="10"/>
      <c r="O71" s="10"/>
    </row>
    <row r="72" spans="1:15" s="38" customFormat="1" ht="12" customHeight="1">
      <c r="A72" s="18"/>
      <c r="B72" s="14"/>
      <c r="C72" s="19"/>
      <c r="D72" s="19"/>
      <c r="E72" s="19"/>
      <c r="F72" s="19"/>
      <c r="G72" s="19"/>
      <c r="H72" s="21"/>
      <c r="I72" s="21"/>
      <c r="K72" s="17"/>
      <c r="L72" s="17"/>
      <c r="M72" s="17"/>
      <c r="N72" s="10"/>
      <c r="O72" s="10"/>
    </row>
    <row r="73" spans="1:15" s="38" customFormat="1" ht="12" customHeight="1">
      <c r="A73" s="18"/>
      <c r="B73" s="14"/>
      <c r="C73" s="19"/>
      <c r="D73" s="19"/>
      <c r="E73" s="19"/>
      <c r="F73" s="19"/>
      <c r="G73" s="19"/>
      <c r="H73" s="21"/>
      <c r="I73" s="21"/>
      <c r="K73" s="17"/>
      <c r="L73" s="17"/>
      <c r="M73" s="17"/>
      <c r="N73" s="10"/>
      <c r="O73" s="10"/>
    </row>
    <row r="74" spans="1:15" s="38" customFormat="1" ht="12" customHeight="1">
      <c r="A74" s="18"/>
      <c r="B74" s="14"/>
      <c r="C74" s="19"/>
      <c r="D74" s="19"/>
      <c r="E74" s="19"/>
      <c r="F74" s="19"/>
      <c r="G74" s="19"/>
      <c r="H74" s="21"/>
      <c r="I74" s="21"/>
      <c r="K74" s="17"/>
      <c r="L74" s="17"/>
      <c r="M74" s="17"/>
      <c r="N74" s="10"/>
      <c r="O74" s="10"/>
    </row>
    <row r="75" spans="1:15" s="38" customFormat="1" ht="12" customHeight="1">
      <c r="A75" s="18"/>
      <c r="B75" s="14"/>
      <c r="C75" s="19"/>
      <c r="D75" s="19"/>
      <c r="E75" s="19"/>
      <c r="F75" s="19"/>
      <c r="G75" s="19"/>
      <c r="H75" s="21"/>
      <c r="I75" s="21"/>
      <c r="K75" s="17"/>
      <c r="L75" s="17"/>
      <c r="M75" s="17"/>
      <c r="N75" s="10"/>
      <c r="O75" s="10"/>
    </row>
    <row r="76" spans="1:15" s="38" customFormat="1" ht="12" customHeight="1">
      <c r="A76" s="18"/>
      <c r="B76" s="14"/>
      <c r="C76" s="19"/>
      <c r="D76" s="19"/>
      <c r="E76" s="19"/>
      <c r="F76" s="19"/>
      <c r="G76" s="19"/>
      <c r="H76" s="21"/>
      <c r="I76" s="21"/>
      <c r="K76" s="17"/>
      <c r="L76" s="17"/>
      <c r="M76" s="17"/>
      <c r="N76" s="10"/>
      <c r="O76" s="10"/>
    </row>
    <row r="77" spans="1:15" s="38" customFormat="1" ht="12" customHeight="1">
      <c r="A77" s="18"/>
      <c r="B77" s="14"/>
      <c r="C77" s="19"/>
      <c r="D77" s="19"/>
      <c r="E77" s="19"/>
      <c r="F77" s="19"/>
      <c r="G77" s="19"/>
      <c r="H77" s="21"/>
      <c r="I77" s="21"/>
      <c r="K77" s="17"/>
      <c r="L77" s="17"/>
      <c r="M77" s="17"/>
      <c r="N77" s="10"/>
      <c r="O77" s="10"/>
    </row>
    <row r="78" spans="1:15" s="38" customFormat="1" ht="12" customHeight="1">
      <c r="A78" s="18"/>
      <c r="B78" s="14"/>
      <c r="C78" s="19"/>
      <c r="D78" s="19"/>
      <c r="E78" s="19"/>
      <c r="F78" s="19"/>
      <c r="G78" s="19"/>
      <c r="H78" s="21"/>
      <c r="I78" s="21"/>
      <c r="K78" s="17"/>
      <c r="L78" s="17"/>
      <c r="M78" s="17"/>
      <c r="N78" s="10"/>
      <c r="O78" s="10"/>
    </row>
    <row r="79" spans="1:15" s="38" customFormat="1" ht="12" customHeight="1">
      <c r="A79" s="18"/>
      <c r="B79" s="14"/>
      <c r="C79" s="19"/>
      <c r="D79" s="19"/>
      <c r="E79" s="19"/>
      <c r="F79" s="19"/>
      <c r="G79" s="19"/>
      <c r="H79" s="21"/>
      <c r="I79" s="21"/>
      <c r="K79" s="17"/>
      <c r="L79" s="17"/>
      <c r="M79" s="17"/>
      <c r="N79" s="10"/>
      <c r="O79" s="10"/>
    </row>
    <row r="80" spans="1:15" s="38" customFormat="1" ht="12" customHeight="1">
      <c r="A80" s="18"/>
      <c r="B80" s="14"/>
      <c r="C80" s="19"/>
      <c r="D80" s="19"/>
      <c r="E80" s="19"/>
      <c r="F80" s="19"/>
      <c r="G80" s="19"/>
      <c r="H80" s="21"/>
      <c r="I80" s="21"/>
      <c r="K80" s="17"/>
      <c r="L80" s="17"/>
      <c r="M80" s="17"/>
      <c r="N80" s="10"/>
      <c r="O80" s="10"/>
    </row>
    <row r="81" spans="1:15" s="38" customFormat="1" ht="12" customHeight="1">
      <c r="A81" s="18"/>
      <c r="B81" s="14"/>
      <c r="C81" s="19"/>
      <c r="D81" s="19"/>
      <c r="E81" s="19"/>
      <c r="F81" s="19"/>
      <c r="G81" s="19"/>
      <c r="H81" s="21"/>
      <c r="I81" s="21"/>
      <c r="K81" s="17"/>
      <c r="L81" s="17"/>
      <c r="M81" s="17"/>
      <c r="N81" s="10"/>
      <c r="O81" s="10"/>
    </row>
    <row r="82" spans="1:15" s="38" customFormat="1" ht="12" customHeight="1">
      <c r="A82" s="18"/>
      <c r="B82" s="14"/>
      <c r="C82" s="19"/>
      <c r="D82" s="19"/>
      <c r="E82" s="19"/>
      <c r="F82" s="19"/>
      <c r="G82" s="19"/>
      <c r="H82" s="21"/>
      <c r="I82" s="21"/>
      <c r="K82" s="17"/>
      <c r="L82" s="17"/>
      <c r="M82" s="17"/>
      <c r="N82" s="10"/>
      <c r="O82" s="10"/>
    </row>
    <row r="83" spans="1:15" s="38" customFormat="1" ht="12" customHeight="1">
      <c r="A83" s="18"/>
      <c r="B83" s="14"/>
      <c r="C83" s="19"/>
      <c r="D83" s="19"/>
      <c r="E83" s="19"/>
      <c r="F83" s="19"/>
      <c r="G83" s="19"/>
      <c r="H83" s="21"/>
      <c r="I83" s="21"/>
      <c r="K83" s="17"/>
      <c r="L83" s="17"/>
      <c r="M83" s="17"/>
      <c r="N83" s="10"/>
      <c r="O83" s="10"/>
    </row>
    <row r="84" spans="1:15" s="38" customFormat="1" ht="12" customHeight="1">
      <c r="A84" s="18"/>
      <c r="B84" s="14"/>
      <c r="C84" s="19"/>
      <c r="D84" s="19"/>
      <c r="E84" s="19"/>
      <c r="F84" s="19"/>
      <c r="G84" s="19"/>
      <c r="H84" s="21"/>
      <c r="I84" s="21"/>
      <c r="K84" s="17"/>
      <c r="L84" s="17"/>
      <c r="M84" s="17"/>
      <c r="N84" s="10"/>
      <c r="O84" s="10"/>
    </row>
    <row r="85" spans="1:15" s="38" customFormat="1" ht="12" customHeight="1">
      <c r="A85" s="18"/>
      <c r="B85" s="14"/>
      <c r="C85" s="19"/>
      <c r="D85" s="19"/>
      <c r="E85" s="19"/>
      <c r="F85" s="19"/>
      <c r="G85" s="19"/>
      <c r="H85" s="21"/>
      <c r="I85" s="21"/>
      <c r="K85" s="17"/>
      <c r="L85" s="17"/>
      <c r="M85" s="17"/>
      <c r="N85" s="10"/>
      <c r="O85" s="10"/>
    </row>
    <row r="86" spans="1:15" s="38" customFormat="1" ht="12" customHeight="1">
      <c r="A86" s="18"/>
      <c r="B86" s="14"/>
      <c r="C86" s="19"/>
      <c r="D86" s="19"/>
      <c r="E86" s="19"/>
      <c r="F86" s="19"/>
      <c r="G86" s="19"/>
      <c r="H86" s="21"/>
      <c r="I86" s="21"/>
      <c r="K86" s="17"/>
      <c r="L86" s="17"/>
      <c r="M86" s="17"/>
      <c r="N86" s="10"/>
      <c r="O86" s="10"/>
    </row>
    <row r="87" spans="1:15" s="38" customFormat="1" ht="12" customHeight="1">
      <c r="A87" s="18"/>
      <c r="B87" s="14"/>
      <c r="C87" s="19"/>
      <c r="D87" s="19"/>
      <c r="E87" s="19"/>
      <c r="F87" s="19"/>
      <c r="G87" s="19"/>
      <c r="H87" s="21"/>
      <c r="I87" s="21"/>
      <c r="K87" s="17"/>
      <c r="L87" s="17"/>
      <c r="M87" s="17"/>
      <c r="N87" s="10"/>
      <c r="O87" s="10"/>
    </row>
    <row r="88" spans="1:15" s="38" customFormat="1" ht="12" customHeight="1">
      <c r="A88" s="18"/>
      <c r="B88" s="14"/>
      <c r="C88" s="19"/>
      <c r="D88" s="19"/>
      <c r="E88" s="19"/>
      <c r="F88" s="19"/>
      <c r="G88" s="19"/>
      <c r="H88" s="21"/>
      <c r="I88" s="21"/>
      <c r="K88" s="17"/>
      <c r="L88" s="17"/>
      <c r="M88" s="17"/>
      <c r="N88" s="10"/>
      <c r="O88" s="10"/>
    </row>
    <row r="89" spans="1:15" s="38" customFormat="1" ht="12" customHeight="1">
      <c r="A89" s="18"/>
      <c r="B89" s="14"/>
      <c r="C89" s="19"/>
      <c r="D89" s="19"/>
      <c r="E89" s="19"/>
      <c r="F89" s="19"/>
      <c r="G89" s="19"/>
      <c r="H89" s="21"/>
      <c r="I89" s="21"/>
      <c r="K89" s="17"/>
      <c r="L89" s="17"/>
      <c r="M89" s="17"/>
      <c r="N89" s="10"/>
      <c r="O89" s="10"/>
    </row>
    <row r="90" spans="1:15" s="38" customFormat="1" ht="12" customHeight="1">
      <c r="A90" s="18"/>
      <c r="B90" s="14"/>
      <c r="C90" s="19"/>
      <c r="D90" s="19"/>
      <c r="E90" s="19"/>
      <c r="F90" s="19"/>
      <c r="G90" s="19"/>
      <c r="H90" s="21"/>
      <c r="I90" s="21"/>
      <c r="K90" s="17"/>
      <c r="L90" s="17"/>
      <c r="M90" s="17"/>
      <c r="N90" s="10"/>
      <c r="O90" s="10"/>
    </row>
    <row r="91" spans="1:15" s="38" customFormat="1" ht="12" customHeight="1">
      <c r="A91" s="18"/>
      <c r="B91" s="14"/>
      <c r="C91" s="19"/>
      <c r="D91" s="19"/>
      <c r="E91" s="19"/>
      <c r="F91" s="19"/>
      <c r="G91" s="19"/>
      <c r="H91" s="21"/>
      <c r="I91" s="21"/>
      <c r="K91" s="17"/>
      <c r="L91" s="17"/>
      <c r="M91" s="17"/>
      <c r="N91" s="10"/>
      <c r="O91" s="10"/>
    </row>
    <row r="92" spans="1:15" s="38" customFormat="1" ht="12" customHeight="1">
      <c r="A92" s="18"/>
      <c r="B92" s="14"/>
      <c r="C92" s="19"/>
      <c r="D92" s="19"/>
      <c r="E92" s="19"/>
      <c r="F92" s="19"/>
      <c r="G92" s="19"/>
      <c r="H92" s="21"/>
      <c r="I92" s="21"/>
      <c r="K92" s="17"/>
      <c r="L92" s="17"/>
      <c r="M92" s="17"/>
      <c r="N92" s="10"/>
      <c r="O92" s="10"/>
    </row>
    <row r="93" spans="1:15" s="38" customFormat="1" ht="12" customHeight="1">
      <c r="A93" s="18"/>
      <c r="B93" s="14"/>
      <c r="C93" s="19"/>
      <c r="D93" s="19"/>
      <c r="E93" s="19"/>
      <c r="F93" s="19"/>
      <c r="G93" s="19"/>
      <c r="H93" s="21"/>
      <c r="I93" s="21"/>
      <c r="K93" s="17"/>
      <c r="L93" s="17"/>
      <c r="M93" s="17"/>
      <c r="N93" s="10"/>
      <c r="O93" s="10"/>
    </row>
    <row r="94" spans="1:15" s="38" customFormat="1" ht="12" customHeight="1">
      <c r="A94" s="18"/>
      <c r="B94" s="14"/>
      <c r="C94" s="19"/>
      <c r="D94" s="19"/>
      <c r="E94" s="19"/>
      <c r="F94" s="19"/>
      <c r="G94" s="19"/>
      <c r="H94" s="21"/>
      <c r="I94" s="21"/>
      <c r="K94" s="17"/>
      <c r="L94" s="17"/>
      <c r="M94" s="17"/>
      <c r="N94" s="10"/>
      <c r="O94" s="10"/>
    </row>
    <row r="95" spans="1:15" s="38" customFormat="1" ht="12" customHeight="1">
      <c r="A95" s="18"/>
      <c r="B95" s="14"/>
      <c r="C95" s="19"/>
      <c r="D95" s="19"/>
      <c r="E95" s="19"/>
      <c r="F95" s="19"/>
      <c r="G95" s="19"/>
      <c r="H95" s="21"/>
      <c r="I95" s="21"/>
      <c r="K95" s="17"/>
      <c r="L95" s="17"/>
      <c r="M95" s="17"/>
      <c r="N95" s="10"/>
      <c r="O95" s="10"/>
    </row>
    <row r="96" spans="1:15" s="38" customFormat="1" ht="12" customHeight="1">
      <c r="A96" s="18"/>
      <c r="B96" s="14"/>
      <c r="C96" s="19"/>
      <c r="D96" s="19"/>
      <c r="E96" s="19"/>
      <c r="F96" s="19"/>
      <c r="G96" s="19"/>
      <c r="H96" s="21"/>
      <c r="I96" s="21"/>
      <c r="K96" s="17"/>
      <c r="L96" s="17"/>
      <c r="M96" s="17"/>
      <c r="N96" s="10"/>
      <c r="O96" s="10"/>
    </row>
    <row r="97" spans="1:15" s="38" customFormat="1" ht="12" customHeight="1">
      <c r="A97" s="18"/>
      <c r="B97" s="14"/>
      <c r="C97" s="19"/>
      <c r="D97" s="19"/>
      <c r="E97" s="19"/>
      <c r="F97" s="19"/>
      <c r="G97" s="19"/>
      <c r="H97" s="21"/>
      <c r="I97" s="21"/>
      <c r="K97" s="17"/>
      <c r="L97" s="17"/>
      <c r="M97" s="17"/>
      <c r="N97" s="10"/>
      <c r="O97" s="10"/>
    </row>
    <row r="98" spans="1:15" s="38" customFormat="1" ht="12" customHeight="1">
      <c r="A98" s="18"/>
      <c r="B98" s="14"/>
      <c r="C98" s="19"/>
      <c r="D98" s="19"/>
      <c r="E98" s="19"/>
      <c r="F98" s="19"/>
      <c r="G98" s="19"/>
      <c r="H98" s="21"/>
      <c r="I98" s="21"/>
      <c r="K98" s="17"/>
      <c r="L98" s="17"/>
      <c r="M98" s="17"/>
      <c r="N98" s="10"/>
      <c r="O98" s="10"/>
    </row>
    <row r="99" spans="1:15" s="38" customFormat="1" ht="12" customHeight="1">
      <c r="A99" s="18"/>
      <c r="B99" s="14"/>
      <c r="C99" s="19"/>
      <c r="D99" s="19"/>
      <c r="E99" s="19"/>
      <c r="F99" s="19"/>
      <c r="G99" s="19"/>
      <c r="H99" s="21"/>
      <c r="I99" s="21"/>
      <c r="K99" s="17"/>
      <c r="L99" s="17"/>
      <c r="M99" s="17"/>
      <c r="N99" s="10"/>
      <c r="O99" s="10"/>
    </row>
    <row r="100" spans="1:15" s="38" customFormat="1" ht="12" customHeight="1">
      <c r="A100" s="18"/>
      <c r="B100" s="14"/>
      <c r="C100" s="19"/>
      <c r="D100" s="19"/>
      <c r="E100" s="19"/>
      <c r="F100" s="19"/>
      <c r="G100" s="19"/>
      <c r="H100" s="21"/>
      <c r="I100" s="21"/>
      <c r="K100" s="17"/>
      <c r="L100" s="17"/>
      <c r="M100" s="17"/>
      <c r="N100" s="10"/>
      <c r="O100" s="10"/>
    </row>
    <row r="101" spans="1:15" s="38" customFormat="1" ht="12" customHeight="1">
      <c r="A101" s="18"/>
      <c r="B101" s="14"/>
      <c r="C101" s="19"/>
      <c r="D101" s="19"/>
      <c r="E101" s="19"/>
      <c r="F101" s="19"/>
      <c r="G101" s="19"/>
      <c r="H101" s="21"/>
      <c r="I101" s="21"/>
      <c r="K101" s="17"/>
      <c r="L101" s="17"/>
      <c r="M101" s="17"/>
      <c r="N101" s="10"/>
      <c r="O101" s="10"/>
    </row>
    <row r="102" spans="1:15" s="38" customFormat="1" ht="12" customHeight="1">
      <c r="A102" s="18"/>
      <c r="B102" s="14"/>
      <c r="C102" s="19"/>
      <c r="D102" s="19"/>
      <c r="E102" s="19"/>
      <c r="F102" s="19"/>
      <c r="G102" s="19"/>
      <c r="H102" s="21"/>
      <c r="I102" s="21"/>
      <c r="K102" s="17"/>
      <c r="L102" s="17"/>
      <c r="M102" s="17"/>
      <c r="N102" s="10"/>
      <c r="O102" s="10"/>
    </row>
    <row r="103" spans="1:15" s="38" customFormat="1" ht="12" customHeight="1">
      <c r="A103" s="18"/>
      <c r="B103" s="14"/>
      <c r="C103" s="19"/>
      <c r="D103" s="19"/>
      <c r="E103" s="19"/>
      <c r="F103" s="19"/>
      <c r="G103" s="19"/>
      <c r="H103" s="21"/>
      <c r="I103" s="21"/>
      <c r="K103" s="17"/>
      <c r="L103" s="17"/>
      <c r="M103" s="17"/>
      <c r="N103" s="10"/>
      <c r="O103" s="10"/>
    </row>
    <row r="104" spans="1:15" s="38" customFormat="1" ht="12" customHeight="1">
      <c r="A104" s="18"/>
      <c r="B104" s="14"/>
      <c r="C104" s="19"/>
      <c r="D104" s="19"/>
      <c r="E104" s="19"/>
      <c r="F104" s="19"/>
      <c r="G104" s="19"/>
      <c r="H104" s="21"/>
      <c r="I104" s="21"/>
      <c r="K104" s="17"/>
      <c r="L104" s="17"/>
      <c r="M104" s="17"/>
      <c r="N104" s="10"/>
      <c r="O104" s="10"/>
    </row>
    <row r="105" spans="1:15" s="38" customFormat="1" ht="12" customHeight="1">
      <c r="A105" s="18"/>
      <c r="B105" s="14"/>
      <c r="C105" s="19"/>
      <c r="D105" s="19"/>
      <c r="E105" s="19"/>
      <c r="F105" s="19"/>
      <c r="G105" s="19"/>
      <c r="H105" s="21"/>
      <c r="I105" s="21"/>
      <c r="K105" s="17"/>
      <c r="L105" s="17"/>
      <c r="M105" s="17"/>
      <c r="N105" s="10"/>
      <c r="O105" s="10"/>
    </row>
    <row r="106" spans="1:15" s="38" customFormat="1" ht="12" customHeight="1">
      <c r="A106" s="18"/>
      <c r="B106" s="14"/>
      <c r="C106" s="19"/>
      <c r="D106" s="19"/>
      <c r="E106" s="19"/>
      <c r="F106" s="19"/>
      <c r="G106" s="19"/>
      <c r="H106" s="21"/>
      <c r="I106" s="21"/>
      <c r="K106" s="17"/>
      <c r="L106" s="17"/>
      <c r="M106" s="17"/>
      <c r="N106" s="10"/>
      <c r="O106" s="10"/>
    </row>
    <row r="107" spans="1:15" s="38" customFormat="1" ht="12" customHeight="1">
      <c r="A107" s="18"/>
      <c r="B107" s="14"/>
      <c r="C107" s="19"/>
      <c r="D107" s="19"/>
      <c r="E107" s="19"/>
      <c r="F107" s="19"/>
      <c r="G107" s="19"/>
      <c r="H107" s="21"/>
      <c r="I107" s="21"/>
      <c r="K107" s="17"/>
      <c r="L107" s="17"/>
      <c r="M107" s="17"/>
      <c r="N107" s="10"/>
      <c r="O107" s="10"/>
    </row>
    <row r="108" spans="1:15" s="38" customFormat="1" ht="12" customHeight="1">
      <c r="A108" s="18"/>
      <c r="B108" s="14"/>
      <c r="C108" s="19"/>
      <c r="D108" s="19"/>
      <c r="E108" s="19"/>
      <c r="F108" s="19"/>
      <c r="G108" s="19"/>
      <c r="H108" s="21"/>
      <c r="I108" s="21"/>
      <c r="K108" s="17"/>
      <c r="L108" s="17"/>
      <c r="M108" s="17"/>
      <c r="N108" s="10"/>
      <c r="O108" s="10"/>
    </row>
    <row r="109" spans="1:15" s="38" customFormat="1" ht="12" customHeight="1">
      <c r="A109" s="18"/>
      <c r="B109" s="14"/>
      <c r="C109" s="19"/>
      <c r="D109" s="19"/>
      <c r="E109" s="19"/>
      <c r="F109" s="19"/>
      <c r="G109" s="19"/>
      <c r="H109" s="21"/>
      <c r="I109" s="21"/>
      <c r="K109" s="17"/>
      <c r="L109" s="17"/>
      <c r="M109" s="17"/>
      <c r="N109" s="10"/>
      <c r="O109" s="10"/>
    </row>
    <row r="110" spans="1:15" s="38" customFormat="1" ht="12" customHeight="1">
      <c r="A110" s="18"/>
      <c r="B110" s="14"/>
      <c r="C110" s="19"/>
      <c r="D110" s="19"/>
      <c r="E110" s="19"/>
      <c r="F110" s="19"/>
      <c r="G110" s="19"/>
      <c r="H110" s="21"/>
      <c r="I110" s="21"/>
      <c r="K110" s="17"/>
      <c r="L110" s="17"/>
      <c r="M110" s="17"/>
      <c r="N110" s="10"/>
      <c r="O110" s="10"/>
    </row>
    <row r="111" spans="1:15" s="38" customFormat="1" ht="12" customHeight="1">
      <c r="A111" s="18"/>
      <c r="B111" s="14"/>
      <c r="C111" s="19"/>
      <c r="D111" s="19"/>
      <c r="E111" s="19"/>
      <c r="F111" s="19"/>
      <c r="G111" s="19"/>
      <c r="H111" s="21"/>
      <c r="I111" s="21"/>
      <c r="K111" s="17"/>
      <c r="L111" s="17"/>
      <c r="M111" s="17"/>
      <c r="N111" s="10"/>
      <c r="O111" s="10"/>
    </row>
    <row r="112" spans="1:15" s="38" customFormat="1" ht="12" customHeight="1">
      <c r="A112" s="18"/>
      <c r="B112" s="14"/>
      <c r="C112" s="19"/>
      <c r="D112" s="19"/>
      <c r="E112" s="19"/>
      <c r="F112" s="19"/>
      <c r="G112" s="19"/>
      <c r="H112" s="21"/>
      <c r="I112" s="21"/>
      <c r="K112" s="17"/>
      <c r="L112" s="17"/>
      <c r="M112" s="17"/>
      <c r="N112" s="10"/>
      <c r="O112" s="10"/>
    </row>
    <row r="113" spans="1:15" s="38" customFormat="1" ht="12" customHeight="1">
      <c r="A113" s="18"/>
      <c r="B113" s="14"/>
      <c r="C113" s="19"/>
      <c r="D113" s="19"/>
      <c r="E113" s="19"/>
      <c r="F113" s="19"/>
      <c r="G113" s="19"/>
      <c r="H113" s="21"/>
      <c r="I113" s="21"/>
      <c r="K113" s="17"/>
      <c r="L113" s="17"/>
      <c r="M113" s="17"/>
      <c r="N113" s="10"/>
      <c r="O113" s="10"/>
    </row>
    <row r="114" spans="1:15" s="38" customFormat="1" ht="12" customHeight="1">
      <c r="A114" s="18"/>
      <c r="B114" s="14"/>
      <c r="C114" s="19"/>
      <c r="D114" s="19"/>
      <c r="E114" s="19"/>
      <c r="F114" s="19"/>
      <c r="G114" s="19"/>
      <c r="H114" s="21"/>
      <c r="I114" s="21"/>
      <c r="K114" s="17"/>
      <c r="L114" s="17"/>
      <c r="M114" s="17"/>
      <c r="N114" s="10"/>
      <c r="O114" s="10"/>
    </row>
    <row r="115" spans="1:15" s="38" customFormat="1" ht="12" customHeight="1">
      <c r="A115" s="18"/>
      <c r="B115" s="14"/>
      <c r="C115" s="19"/>
      <c r="D115" s="19"/>
      <c r="E115" s="19"/>
      <c r="F115" s="19"/>
      <c r="G115" s="19"/>
      <c r="H115" s="21"/>
      <c r="I115" s="21"/>
      <c r="K115" s="17"/>
      <c r="L115" s="17"/>
      <c r="M115" s="17"/>
      <c r="N115" s="10"/>
      <c r="O115" s="10"/>
    </row>
    <row r="116" spans="1:15" s="38" customFormat="1" ht="12" customHeight="1">
      <c r="A116" s="18"/>
      <c r="B116" s="14"/>
      <c r="C116" s="19"/>
      <c r="D116" s="19"/>
      <c r="E116" s="19"/>
      <c r="F116" s="19"/>
      <c r="G116" s="19"/>
      <c r="H116" s="21"/>
      <c r="I116" s="21"/>
      <c r="K116" s="17"/>
      <c r="L116" s="17"/>
      <c r="M116" s="17"/>
      <c r="N116" s="10"/>
      <c r="O116" s="10"/>
    </row>
    <row r="117" spans="1:15" s="38" customFormat="1" ht="12" customHeight="1">
      <c r="A117" s="18"/>
      <c r="B117" s="14"/>
      <c r="C117" s="19"/>
      <c r="D117" s="19"/>
      <c r="E117" s="19"/>
      <c r="F117" s="19"/>
      <c r="G117" s="19"/>
      <c r="H117" s="21"/>
      <c r="I117" s="21"/>
      <c r="K117" s="17"/>
      <c r="L117" s="17"/>
      <c r="M117" s="17"/>
      <c r="N117" s="10"/>
      <c r="O117" s="10"/>
    </row>
    <row r="118" spans="1:15" s="38" customFormat="1" ht="12" customHeight="1">
      <c r="A118" s="18"/>
      <c r="B118" s="14"/>
      <c r="C118" s="19"/>
      <c r="D118" s="19"/>
      <c r="E118" s="19"/>
      <c r="F118" s="19"/>
      <c r="G118" s="19"/>
      <c r="H118" s="21"/>
      <c r="I118" s="21"/>
      <c r="K118" s="17"/>
      <c r="L118" s="17"/>
      <c r="M118" s="17"/>
      <c r="N118" s="10"/>
      <c r="O118" s="10"/>
    </row>
    <row r="119" spans="1:15" s="38" customFormat="1" ht="12" customHeight="1">
      <c r="A119" s="18"/>
      <c r="B119" s="14"/>
      <c r="C119" s="19"/>
      <c r="D119" s="19"/>
      <c r="E119" s="19"/>
      <c r="F119" s="19"/>
      <c r="G119" s="19"/>
      <c r="H119" s="21"/>
      <c r="I119" s="21"/>
      <c r="K119" s="17"/>
      <c r="L119" s="17"/>
      <c r="M119" s="17"/>
      <c r="N119" s="10"/>
      <c r="O119" s="10"/>
    </row>
    <row r="120" spans="1:15" s="38" customFormat="1" ht="12" customHeight="1">
      <c r="A120" s="18"/>
      <c r="B120" s="14"/>
      <c r="C120" s="19"/>
      <c r="D120" s="19"/>
      <c r="E120" s="19"/>
      <c r="F120" s="19"/>
      <c r="G120" s="19"/>
      <c r="H120" s="21"/>
      <c r="I120" s="21"/>
      <c r="K120" s="17"/>
      <c r="L120" s="17"/>
      <c r="M120" s="17"/>
      <c r="N120" s="10"/>
      <c r="O120" s="10"/>
    </row>
    <row r="121" spans="1:15" s="38" customFormat="1" ht="12" customHeight="1">
      <c r="A121" s="18"/>
      <c r="B121" s="14"/>
      <c r="C121" s="19"/>
      <c r="D121" s="19"/>
      <c r="E121" s="19"/>
      <c r="F121" s="19"/>
      <c r="G121" s="19"/>
      <c r="H121" s="21"/>
      <c r="I121" s="21"/>
      <c r="K121" s="17"/>
      <c r="L121" s="17"/>
      <c r="M121" s="17"/>
      <c r="N121" s="10"/>
      <c r="O121" s="10"/>
    </row>
    <row r="122" spans="1:15" s="38" customFormat="1" ht="12" customHeight="1">
      <c r="A122" s="18"/>
      <c r="B122" s="14"/>
      <c r="C122" s="19"/>
      <c r="D122" s="19"/>
      <c r="E122" s="19"/>
      <c r="F122" s="19"/>
      <c r="G122" s="19"/>
      <c r="H122" s="21"/>
      <c r="I122" s="21"/>
      <c r="K122" s="17"/>
      <c r="L122" s="17"/>
      <c r="M122" s="17"/>
      <c r="N122" s="10"/>
      <c r="O122" s="10"/>
    </row>
  </sheetData>
  <mergeCells count="16">
    <mergeCell ref="B16:M16"/>
    <mergeCell ref="B9:M9"/>
    <mergeCell ref="E4:E5"/>
    <mergeCell ref="F4:G4"/>
    <mergeCell ref="B4:B5"/>
    <mergeCell ref="C4:C5"/>
    <mergeCell ref="D4:D5"/>
    <mergeCell ref="N4:N5"/>
    <mergeCell ref="O4:O5"/>
    <mergeCell ref="A7:M7"/>
    <mergeCell ref="A8:M8"/>
    <mergeCell ref="H4:J4"/>
    <mergeCell ref="K4:K5"/>
    <mergeCell ref="L4:L5"/>
    <mergeCell ref="M4:M5"/>
    <mergeCell ref="A4:A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55" zoomScaleSheetLayoutView="100" workbookViewId="0">
      <selection activeCell="A2" sqref="A2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07" customFormat="1" ht="50.1" customHeight="1">
      <c r="A1" s="95"/>
      <c r="B1" s="153" t="s">
        <v>699</v>
      </c>
      <c r="C1" s="98" t="s">
        <v>573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8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N4:N5"/>
    <mergeCell ref="O4:O5"/>
    <mergeCell ref="A7:M7"/>
    <mergeCell ref="B9:M9"/>
    <mergeCell ref="B16:M16"/>
    <mergeCell ref="A8:M8"/>
    <mergeCell ref="L4:L5"/>
    <mergeCell ref="M4:M5"/>
    <mergeCell ref="A4:A5"/>
    <mergeCell ref="B4:B5"/>
    <mergeCell ref="C4:C5"/>
    <mergeCell ref="D4:D5"/>
    <mergeCell ref="E4:E5"/>
    <mergeCell ref="F4:G4"/>
    <mergeCell ref="H4:J4"/>
    <mergeCell ref="K4:K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52"/>
  <sheetViews>
    <sheetView view="pageBreakPreview" zoomScaleNormal="55" zoomScaleSheetLayoutView="100" workbookViewId="0">
      <selection activeCell="B2" sqref="B2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07" customFormat="1" ht="50.1" customHeight="1">
      <c r="A1" s="95"/>
      <c r="B1" s="153" t="s">
        <v>762</v>
      </c>
      <c r="C1" s="98" t="s">
        <v>573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8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8" t="s">
        <v>26</v>
      </c>
      <c r="G5" s="790" t="s">
        <v>661</v>
      </c>
      <c r="H5" s="788" t="s">
        <v>27</v>
      </c>
      <c r="I5" s="788" t="s">
        <v>28</v>
      </c>
      <c r="J5" s="793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789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621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  <row r="52" s="390" customFormat="1" ht="12"/>
  </sheetData>
  <mergeCells count="16">
    <mergeCell ref="A7:M7"/>
    <mergeCell ref="A8:M8"/>
    <mergeCell ref="B9:M9"/>
    <mergeCell ref="B16:M16"/>
    <mergeCell ref="H4:J4"/>
    <mergeCell ref="K4:K5"/>
    <mergeCell ref="L4:L5"/>
    <mergeCell ref="M4:M5"/>
    <mergeCell ref="N4:N5"/>
    <mergeCell ref="O4:O5"/>
    <mergeCell ref="A4:A5"/>
    <mergeCell ref="B4:B5"/>
    <mergeCell ref="C4:C5"/>
    <mergeCell ref="D4:D5"/>
    <mergeCell ref="E4:E5"/>
    <mergeCell ref="F4:G4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O43"/>
  <sheetViews>
    <sheetView tabSelected="1" view="pageBreakPreview" zoomScale="115" zoomScaleNormal="85" zoomScaleSheetLayoutView="115" workbookViewId="0">
      <selection activeCell="A2" sqref="A2:F2"/>
    </sheetView>
  </sheetViews>
  <sheetFormatPr defaultRowHeight="13.5"/>
  <cols>
    <col min="1" max="1" width="15.6640625" style="207" customWidth="1"/>
    <col min="2" max="2" width="20.77734375" style="207" customWidth="1"/>
    <col min="3" max="3" width="22" style="207" customWidth="1"/>
    <col min="4" max="4" width="21.88671875" style="207" customWidth="1"/>
    <col min="5" max="5" width="20.77734375" style="207" customWidth="1"/>
    <col min="6" max="6" width="10.77734375" style="207" customWidth="1"/>
    <col min="7" max="8" width="8.88671875" style="207"/>
    <col min="9" max="9" width="11.5546875" style="207" customWidth="1"/>
    <col min="10" max="16384" width="8.88671875" style="207"/>
  </cols>
  <sheetData>
    <row r="1" spans="1:7" ht="12" customHeight="1" thickBot="1"/>
    <row r="2" spans="1:7" ht="47.25" customHeight="1" thickBot="1">
      <c r="A2" s="852" t="s">
        <v>748</v>
      </c>
      <c r="B2" s="853"/>
      <c r="C2" s="853"/>
      <c r="D2" s="853"/>
      <c r="E2" s="853"/>
      <c r="F2" s="854"/>
    </row>
    <row r="3" spans="1:7" s="209" customFormat="1" ht="27" customHeight="1">
      <c r="A3" s="208"/>
      <c r="B3" s="208"/>
      <c r="C3" s="208"/>
      <c r="D3" s="208"/>
      <c r="E3" s="208"/>
      <c r="F3" s="208"/>
    </row>
    <row r="4" spans="1:7" ht="36" customHeight="1">
      <c r="A4" s="210" t="s">
        <v>237</v>
      </c>
      <c r="B4" s="210"/>
      <c r="C4" s="210"/>
      <c r="D4" s="210"/>
      <c r="E4" s="210"/>
      <c r="F4" s="210"/>
    </row>
    <row r="5" spans="1:7" ht="9" customHeight="1">
      <c r="A5" s="211"/>
      <c r="B5" s="211"/>
      <c r="C5" s="211"/>
      <c r="D5" s="211"/>
      <c r="E5" s="211"/>
      <c r="F5" s="211"/>
    </row>
    <row r="6" spans="1:7" ht="108" customHeight="1">
      <c r="A6" s="212" t="s">
        <v>54</v>
      </c>
      <c r="B6" s="213" t="s">
        <v>561</v>
      </c>
      <c r="C6" s="213" t="s">
        <v>562</v>
      </c>
      <c r="D6" s="213" t="s">
        <v>563</v>
      </c>
      <c r="E6" s="213"/>
      <c r="F6" s="212" t="s">
        <v>154</v>
      </c>
    </row>
    <row r="7" spans="1:7" ht="108" customHeight="1">
      <c r="A7" s="212" t="s">
        <v>73</v>
      </c>
      <c r="B7" s="214">
        <v>0.42</v>
      </c>
      <c r="C7" s="214">
        <v>0.33</v>
      </c>
      <c r="D7" s="214">
        <v>0.25</v>
      </c>
      <c r="E7" s="214"/>
      <c r="F7" s="215"/>
    </row>
    <row r="8" spans="1:7" s="217" customFormat="1" ht="19.5" customHeight="1">
      <c r="A8" s="851" t="s">
        <v>663</v>
      </c>
      <c r="B8" s="851"/>
      <c r="C8" s="851"/>
      <c r="D8" s="851"/>
      <c r="E8" s="851"/>
      <c r="F8" s="851"/>
      <c r="G8" s="216"/>
    </row>
    <row r="9" spans="1:7" ht="13.5" customHeight="1">
      <c r="A9" s="218"/>
      <c r="B9" s="218"/>
      <c r="C9" s="218"/>
      <c r="D9" s="218"/>
      <c r="E9" s="218"/>
    </row>
    <row r="10" spans="1:7" ht="13.5" customHeight="1">
      <c r="A10" s="218"/>
      <c r="B10" s="218"/>
      <c r="C10" s="218"/>
      <c r="D10" s="218"/>
      <c r="E10" s="218"/>
    </row>
    <row r="11" spans="1:7" ht="13.5" customHeight="1">
      <c r="A11" s="218"/>
      <c r="B11" s="218"/>
      <c r="C11" s="218"/>
      <c r="D11" s="218"/>
      <c r="E11" s="218"/>
    </row>
    <row r="12" spans="1:7" ht="13.5" customHeight="1">
      <c r="A12" s="218"/>
      <c r="B12" s="218"/>
      <c r="C12" s="218"/>
      <c r="D12" s="218"/>
      <c r="E12" s="218"/>
    </row>
    <row r="13" spans="1:7" ht="13.5" customHeight="1">
      <c r="A13" s="218"/>
      <c r="B13" s="218"/>
      <c r="C13" s="218"/>
      <c r="D13" s="218"/>
      <c r="E13" s="218"/>
    </row>
    <row r="14" spans="1:7" ht="13.5" customHeight="1">
      <c r="A14" s="218"/>
      <c r="B14" s="218"/>
      <c r="C14" s="218"/>
      <c r="D14" s="218"/>
      <c r="E14" s="218"/>
    </row>
    <row r="15" spans="1:7" ht="13.5" customHeight="1">
      <c r="A15" s="218"/>
      <c r="B15" s="218"/>
      <c r="C15" s="218"/>
      <c r="D15" s="218"/>
      <c r="E15" s="218"/>
    </row>
    <row r="16" spans="1:7" ht="13.5" customHeight="1">
      <c r="A16" s="218"/>
      <c r="B16" s="218"/>
      <c r="C16" s="218"/>
      <c r="D16" s="218"/>
      <c r="E16" s="218"/>
    </row>
    <row r="17" spans="1:15" ht="13.5" customHeight="1">
      <c r="A17" s="218"/>
      <c r="B17" s="218"/>
      <c r="C17" s="218"/>
      <c r="D17" s="218"/>
      <c r="E17" s="218"/>
    </row>
    <row r="18" spans="1:15" ht="13.5" customHeight="1">
      <c r="A18" s="218"/>
      <c r="B18" s="218"/>
      <c r="C18" s="218"/>
      <c r="D18" s="218"/>
      <c r="E18" s="218"/>
    </row>
    <row r="19" spans="1:15" ht="13.5" customHeight="1">
      <c r="A19" s="218"/>
      <c r="B19" s="218"/>
      <c r="C19" s="218"/>
      <c r="D19" s="218"/>
      <c r="E19" s="218"/>
    </row>
    <row r="20" spans="1:15" ht="13.5" customHeight="1">
      <c r="A20" s="218"/>
      <c r="B20" s="218"/>
      <c r="C20" s="218"/>
      <c r="D20" s="218"/>
      <c r="E20" s="218"/>
    </row>
    <row r="21" spans="1:15" ht="13.5" customHeight="1">
      <c r="A21" s="218"/>
      <c r="B21" s="218"/>
      <c r="C21" s="218"/>
      <c r="D21" s="218"/>
      <c r="E21" s="218"/>
    </row>
    <row r="22" spans="1:15" ht="13.5" customHeight="1">
      <c r="A22" s="218"/>
      <c r="B22" s="218"/>
      <c r="C22" s="218"/>
      <c r="D22" s="218"/>
      <c r="E22" s="218"/>
    </row>
    <row r="23" spans="1:15" ht="13.5" customHeight="1">
      <c r="A23" s="218"/>
      <c r="B23" s="218"/>
      <c r="C23" s="218"/>
      <c r="D23" s="218"/>
      <c r="E23" s="218"/>
      <c r="O23" s="219" t="e">
        <f>기술투자!#REF!</f>
        <v>#REF!</v>
      </c>
    </row>
    <row r="24" spans="1:15" ht="13.5" customHeight="1">
      <c r="A24" s="218"/>
      <c r="B24" s="218"/>
      <c r="C24" s="218"/>
      <c r="D24" s="218"/>
      <c r="E24" s="218"/>
    </row>
    <row r="25" spans="1:15" ht="13.5" customHeight="1">
      <c r="A25" s="218"/>
      <c r="B25" s="218"/>
      <c r="C25" s="218"/>
      <c r="D25" s="218"/>
      <c r="E25" s="218"/>
    </row>
    <row r="26" spans="1:15" ht="13.5" customHeight="1">
      <c r="A26" s="218"/>
      <c r="B26" s="218"/>
      <c r="C26" s="218"/>
      <c r="D26" s="218"/>
      <c r="E26" s="218"/>
    </row>
    <row r="27" spans="1:15" ht="13.5" customHeight="1">
      <c r="A27" s="218"/>
      <c r="B27" s="218"/>
      <c r="C27" s="218"/>
      <c r="D27" s="218"/>
      <c r="E27" s="218"/>
    </row>
    <row r="28" spans="1:15" ht="13.5" customHeight="1">
      <c r="A28" s="218"/>
      <c r="B28" s="218"/>
      <c r="C28" s="218"/>
      <c r="D28" s="218"/>
      <c r="E28" s="218"/>
    </row>
    <row r="29" spans="1:15" ht="13.5" customHeight="1">
      <c r="A29" s="218"/>
      <c r="B29" s="218"/>
      <c r="C29" s="218"/>
      <c r="D29" s="218"/>
      <c r="E29" s="218"/>
    </row>
    <row r="30" spans="1:15" ht="13.5" customHeight="1">
      <c r="A30" s="218"/>
      <c r="B30" s="218"/>
      <c r="C30" s="218"/>
      <c r="D30" s="218"/>
      <c r="E30" s="218"/>
    </row>
    <row r="31" spans="1:15" ht="13.5" customHeight="1">
      <c r="A31" s="218"/>
      <c r="B31" s="218"/>
      <c r="C31" s="218"/>
      <c r="D31" s="218"/>
      <c r="E31" s="218"/>
    </row>
    <row r="32" spans="1:15" ht="13.5" customHeight="1">
      <c r="A32" s="218"/>
      <c r="B32" s="218"/>
      <c r="C32" s="218"/>
      <c r="D32" s="218"/>
      <c r="E32" s="218"/>
    </row>
    <row r="33" spans="1:5" ht="13.5" customHeight="1">
      <c r="A33" s="218"/>
      <c r="B33" s="218"/>
      <c r="C33" s="218"/>
      <c r="D33" s="218"/>
      <c r="E33" s="218"/>
    </row>
    <row r="34" spans="1:5" ht="13.5" customHeight="1">
      <c r="A34" s="218"/>
      <c r="B34" s="218"/>
      <c r="C34" s="218"/>
      <c r="D34" s="218"/>
      <c r="E34" s="218"/>
    </row>
    <row r="35" spans="1:5" ht="13.5" customHeight="1">
      <c r="A35" s="218"/>
      <c r="B35" s="218"/>
      <c r="C35" s="218"/>
      <c r="D35" s="218"/>
      <c r="E35" s="218"/>
    </row>
    <row r="36" spans="1:5" ht="13.5" customHeight="1">
      <c r="A36" s="218"/>
      <c r="B36" s="218"/>
      <c r="C36" s="218"/>
      <c r="D36" s="218"/>
      <c r="E36" s="218"/>
    </row>
    <row r="37" spans="1:5" ht="13.5" customHeight="1">
      <c r="A37" s="218"/>
      <c r="B37" s="218"/>
      <c r="C37" s="218"/>
      <c r="D37" s="218"/>
      <c r="E37" s="218"/>
    </row>
    <row r="38" spans="1:5" ht="13.5" customHeight="1">
      <c r="A38" s="218"/>
      <c r="B38" s="218"/>
      <c r="C38" s="218"/>
      <c r="D38" s="218"/>
      <c r="E38" s="218"/>
    </row>
    <row r="39" spans="1:5" ht="13.5" customHeight="1">
      <c r="A39" s="218"/>
      <c r="B39" s="218"/>
      <c r="C39" s="218"/>
      <c r="D39" s="218"/>
      <c r="E39" s="218"/>
    </row>
    <row r="40" spans="1:5" ht="13.5" customHeight="1">
      <c r="A40" s="218"/>
      <c r="B40" s="218"/>
      <c r="C40" s="218"/>
      <c r="D40" s="218"/>
      <c r="E40" s="218"/>
    </row>
    <row r="41" spans="1:5" ht="13.5" customHeight="1">
      <c r="A41" s="218"/>
      <c r="B41" s="218"/>
      <c r="C41" s="218"/>
      <c r="D41" s="218"/>
      <c r="E41" s="218"/>
    </row>
    <row r="42" spans="1:5" ht="13.5" customHeight="1">
      <c r="A42" s="218"/>
      <c r="B42" s="218"/>
      <c r="C42" s="218"/>
      <c r="D42" s="218"/>
      <c r="E42" s="218"/>
    </row>
    <row r="43" spans="1:5" ht="13.5" customHeight="1"/>
  </sheetData>
  <mergeCells count="2">
    <mergeCell ref="A8:F8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3"/>
  </sheetPr>
  <dimension ref="A1:Q109"/>
  <sheetViews>
    <sheetView view="pageBreakPreview" topLeftCell="B1" zoomScale="85" zoomScaleNormal="55" zoomScaleSheetLayoutView="70" workbookViewId="0">
      <selection activeCell="B5" sqref="B5"/>
    </sheetView>
  </sheetViews>
  <sheetFormatPr defaultRowHeight="15.95" customHeight="1"/>
  <cols>
    <col min="1" max="1" width="3" style="207" customWidth="1"/>
    <col min="2" max="2" width="17.77734375" style="207" customWidth="1"/>
    <col min="3" max="3" width="15.109375" style="207" customWidth="1"/>
    <col min="4" max="4" width="33.33203125" style="207" customWidth="1"/>
    <col min="5" max="5" width="27.88671875" style="207" customWidth="1"/>
    <col min="6" max="6" width="26.109375" style="207" customWidth="1"/>
    <col min="7" max="7" width="20.109375" style="207" customWidth="1"/>
    <col min="8" max="8" width="5.6640625" style="207" bestFit="1" customWidth="1"/>
    <col min="9" max="9" width="20.33203125" style="207" customWidth="1"/>
    <col min="10" max="10" width="17.33203125" style="207" customWidth="1"/>
    <col min="11" max="12" width="8" style="207" bestFit="1" customWidth="1"/>
    <col min="13" max="13" width="14" style="207" customWidth="1"/>
    <col min="14" max="14" width="8.109375" style="207" customWidth="1"/>
    <col min="15" max="15" width="12.77734375" style="207" customWidth="1"/>
    <col min="16" max="16" width="8.33203125" style="207" customWidth="1"/>
    <col min="17" max="17" width="7.88671875" style="374" customWidth="1"/>
    <col min="18" max="18" width="6.33203125" style="207" bestFit="1" customWidth="1"/>
    <col min="19" max="19" width="8.77734375" style="207" customWidth="1"/>
    <col min="20" max="20" width="6.33203125" style="207" bestFit="1" customWidth="1"/>
    <col min="21" max="21" width="8.5546875" style="207" customWidth="1"/>
    <col min="22" max="22" width="7.5546875" style="207" bestFit="1" customWidth="1"/>
    <col min="23" max="23" width="6" style="207" customWidth="1"/>
    <col min="24" max="24" width="9.44140625" style="207" customWidth="1"/>
    <col min="25" max="25" width="4" style="207" customWidth="1"/>
    <col min="26" max="26" width="7.77734375" style="207" customWidth="1"/>
    <col min="27" max="16384" width="8.88671875" style="207"/>
  </cols>
  <sheetData>
    <row r="1" spans="1:9" s="493" customFormat="1" ht="33" customHeight="1">
      <c r="A1" s="492"/>
      <c r="B1" s="495" t="s">
        <v>738</v>
      </c>
      <c r="C1" s="30"/>
      <c r="D1" s="30"/>
      <c r="E1" s="30"/>
      <c r="F1" s="30"/>
      <c r="H1" s="494"/>
    </row>
    <row r="2" spans="1:9" s="493" customFormat="1" ht="33" customHeight="1" thickBot="1">
      <c r="A2" s="492"/>
      <c r="B2" s="495"/>
      <c r="C2" s="30"/>
      <c r="D2" s="30"/>
      <c r="E2" s="30"/>
      <c r="F2" s="30"/>
      <c r="H2" s="494"/>
    </row>
    <row r="3" spans="1:9" s="390" customFormat="1" ht="33" customHeight="1">
      <c r="B3" s="649" t="s">
        <v>289</v>
      </c>
      <c r="C3" s="650" t="s">
        <v>290</v>
      </c>
      <c r="D3" s="650" t="s">
        <v>291</v>
      </c>
      <c r="E3" s="650" t="s">
        <v>292</v>
      </c>
      <c r="F3" s="650" t="s">
        <v>293</v>
      </c>
      <c r="G3" s="651" t="s">
        <v>294</v>
      </c>
      <c r="I3" s="389"/>
    </row>
    <row r="4" spans="1:9" s="390" customFormat="1" ht="33" customHeight="1">
      <c r="B4" s="1022" t="s">
        <v>768</v>
      </c>
      <c r="C4" s="1023"/>
      <c r="D4" s="1023"/>
      <c r="E4" s="1023"/>
      <c r="F4" s="1023"/>
      <c r="G4" s="1024"/>
      <c r="I4" s="389"/>
    </row>
    <row r="5" spans="1:9" s="390" customFormat="1" ht="33" customHeight="1">
      <c r="B5" s="517" t="s">
        <v>528</v>
      </c>
      <c r="C5" s="518" t="s">
        <v>565</v>
      </c>
      <c r="D5" s="518"/>
      <c r="E5" s="606"/>
      <c r="F5" s="606"/>
      <c r="G5" s="652"/>
      <c r="I5" s="389"/>
    </row>
    <row r="6" spans="1:9" s="390" customFormat="1" ht="33" customHeight="1">
      <c r="B6" s="517" t="s">
        <v>558</v>
      </c>
      <c r="C6" s="518" t="s">
        <v>565</v>
      </c>
      <c r="D6" s="518"/>
      <c r="E6" s="606"/>
      <c r="F6" s="606"/>
      <c r="G6" s="652"/>
      <c r="I6" s="389"/>
    </row>
    <row r="7" spans="1:9" s="390" customFormat="1" ht="33" customHeight="1">
      <c r="B7" s="517" t="s">
        <v>559</v>
      </c>
      <c r="C7" s="518" t="s">
        <v>565</v>
      </c>
      <c r="D7" s="518"/>
      <c r="E7" s="606"/>
      <c r="F7" s="606"/>
      <c r="G7" s="652"/>
      <c r="I7" s="389"/>
    </row>
    <row r="8" spans="1:9" s="390" customFormat="1" ht="33" customHeight="1">
      <c r="B8" s="517" t="s">
        <v>525</v>
      </c>
      <c r="C8" s="518" t="s">
        <v>565</v>
      </c>
      <c r="D8" s="518"/>
      <c r="E8" s="606"/>
      <c r="F8" s="606"/>
      <c r="G8" s="652"/>
      <c r="I8" s="389"/>
    </row>
    <row r="9" spans="1:9" s="390" customFormat="1" ht="33" customHeight="1">
      <c r="B9" s="517" t="s">
        <v>529</v>
      </c>
      <c r="C9" s="518" t="s">
        <v>565</v>
      </c>
      <c r="D9" s="518"/>
      <c r="E9" s="606"/>
      <c r="F9" s="606"/>
      <c r="G9" s="652"/>
      <c r="I9" s="389"/>
    </row>
    <row r="10" spans="1:9" s="390" customFormat="1" ht="33" customHeight="1">
      <c r="B10" s="517" t="s">
        <v>527</v>
      </c>
      <c r="C10" s="518" t="s">
        <v>565</v>
      </c>
      <c r="D10" s="518"/>
      <c r="E10" s="606"/>
      <c r="F10" s="606"/>
      <c r="G10" s="652"/>
      <c r="I10" s="389"/>
    </row>
    <row r="11" spans="1:9" s="390" customFormat="1" ht="33" customHeight="1">
      <c r="B11" s="517" t="s">
        <v>764</v>
      </c>
      <c r="C11" s="518" t="s">
        <v>765</v>
      </c>
      <c r="D11" s="518"/>
      <c r="E11" s="842"/>
      <c r="F11" s="842"/>
      <c r="G11" s="652"/>
      <c r="I11" s="389"/>
    </row>
    <row r="12" spans="1:9" s="390" customFormat="1" ht="33" customHeight="1">
      <c r="B12" s="522" t="s">
        <v>530</v>
      </c>
      <c r="C12" s="518" t="s">
        <v>565</v>
      </c>
      <c r="D12" s="518"/>
      <c r="E12" s="606"/>
      <c r="F12" s="606"/>
      <c r="G12" s="652"/>
      <c r="I12" s="389"/>
    </row>
    <row r="13" spans="1:9" s="390" customFormat="1" ht="33" customHeight="1">
      <c r="B13" s="517" t="s">
        <v>532</v>
      </c>
      <c r="C13" s="518" t="s">
        <v>565</v>
      </c>
      <c r="D13" s="518"/>
      <c r="E13" s="606"/>
      <c r="F13" s="606"/>
      <c r="G13" s="652"/>
      <c r="I13" s="389"/>
    </row>
    <row r="14" spans="1:9" s="390" customFormat="1" ht="33" customHeight="1">
      <c r="B14" s="523" t="s">
        <v>560</v>
      </c>
      <c r="C14" s="518" t="s">
        <v>565</v>
      </c>
      <c r="D14" s="518"/>
      <c r="E14" s="606"/>
      <c r="F14" s="606"/>
      <c r="G14" s="653"/>
      <c r="I14" s="389"/>
    </row>
    <row r="15" spans="1:9" s="390" customFormat="1" ht="33" customHeight="1">
      <c r="B15" s="517" t="s">
        <v>533</v>
      </c>
      <c r="C15" s="518" t="s">
        <v>565</v>
      </c>
      <c r="D15" s="518"/>
      <c r="E15" s="606"/>
      <c r="F15" s="606"/>
      <c r="G15" s="652"/>
      <c r="I15" s="389"/>
    </row>
    <row r="16" spans="1:9" s="390" customFormat="1" ht="33" customHeight="1">
      <c r="B16" s="517" t="s">
        <v>531</v>
      </c>
      <c r="C16" s="518" t="s">
        <v>565</v>
      </c>
      <c r="D16" s="518"/>
      <c r="E16" s="606"/>
      <c r="F16" s="606"/>
      <c r="G16" s="652"/>
      <c r="I16" s="389"/>
    </row>
    <row r="17" spans="1:16" s="390" customFormat="1" ht="33" customHeight="1">
      <c r="B17" s="845" t="s">
        <v>766</v>
      </c>
      <c r="C17" s="846" t="s">
        <v>765</v>
      </c>
      <c r="D17" s="846"/>
      <c r="E17" s="847"/>
      <c r="F17" s="847"/>
      <c r="G17" s="848"/>
      <c r="I17" s="389"/>
    </row>
    <row r="18" spans="1:16" s="493" customFormat="1" ht="33" customHeight="1" thickBot="1">
      <c r="A18" s="492"/>
      <c r="B18" s="654" t="s">
        <v>233</v>
      </c>
      <c r="C18" s="655"/>
      <c r="D18" s="1021" t="s">
        <v>767</v>
      </c>
      <c r="E18" s="1021"/>
      <c r="F18" s="1021"/>
      <c r="G18" s="656">
        <v>1</v>
      </c>
      <c r="I18" s="494"/>
    </row>
    <row r="19" spans="1:16" s="493" customFormat="1" ht="10.5">
      <c r="H19" s="494"/>
    </row>
    <row r="20" spans="1:16" s="493" customFormat="1" ht="15.95" customHeight="1">
      <c r="H20" s="494"/>
      <c r="P20" s="657"/>
    </row>
    <row r="21" spans="1:16" s="493" customFormat="1" ht="15.95" customHeight="1">
      <c r="H21" s="494"/>
    </row>
    <row r="22" spans="1:16" s="493" customFormat="1" ht="15.95" customHeight="1">
      <c r="H22" s="494"/>
    </row>
    <row r="23" spans="1:16" s="493" customFormat="1" ht="15.95" customHeight="1">
      <c r="H23" s="494"/>
    </row>
    <row r="24" spans="1:16" s="493" customFormat="1" ht="15.95" customHeight="1">
      <c r="H24" s="494"/>
    </row>
    <row r="25" spans="1:16" s="493" customFormat="1" ht="15.95" customHeight="1">
      <c r="H25" s="494"/>
    </row>
    <row r="26" spans="1:16" s="493" customFormat="1" ht="10.5">
      <c r="H26" s="494"/>
    </row>
    <row r="27" spans="1:16" s="493" customFormat="1" ht="15.95" customHeight="1">
      <c r="H27" s="494"/>
    </row>
    <row r="28" spans="1:16" s="493" customFormat="1" ht="15.95" customHeight="1">
      <c r="H28" s="494"/>
    </row>
    <row r="29" spans="1:16" s="493" customFormat="1" ht="15.95" customHeight="1">
      <c r="H29" s="494"/>
    </row>
    <row r="30" spans="1:16" s="493" customFormat="1" ht="15.95" customHeight="1">
      <c r="H30" s="494"/>
    </row>
    <row r="31" spans="1:16" s="493" customFormat="1" ht="15.95" customHeight="1">
      <c r="H31" s="494"/>
    </row>
    <row r="32" spans="1:16" s="493" customFormat="1" ht="15.95" customHeight="1">
      <c r="H32" s="494"/>
    </row>
    <row r="33" spans="8:17" s="493" customFormat="1" ht="15.95" customHeight="1">
      <c r="H33" s="494"/>
    </row>
    <row r="34" spans="8:17" s="493" customFormat="1" ht="10.5">
      <c r="H34" s="494"/>
    </row>
    <row r="35" spans="8:17" s="493" customFormat="1" ht="15.95" customHeight="1">
      <c r="H35" s="494"/>
    </row>
    <row r="36" spans="8:17" s="493" customFormat="1" ht="15.95" customHeight="1">
      <c r="H36" s="494"/>
    </row>
    <row r="37" spans="8:17" s="493" customFormat="1" ht="15.95" customHeight="1">
      <c r="H37" s="494"/>
    </row>
    <row r="38" spans="8:17" s="493" customFormat="1" ht="15.95" customHeight="1">
      <c r="H38" s="494"/>
    </row>
    <row r="39" spans="8:17" s="493" customFormat="1" ht="15.95" customHeight="1">
      <c r="H39" s="494"/>
    </row>
    <row r="40" spans="8:17" s="493" customFormat="1" ht="15.95" customHeight="1">
      <c r="H40" s="494"/>
    </row>
    <row r="41" spans="8:17" s="493" customFormat="1" ht="15.95" customHeight="1">
      <c r="Q41" s="494"/>
    </row>
    <row r="42" spans="8:17" s="493" customFormat="1" ht="15.95" customHeight="1">
      <c r="Q42" s="494"/>
    </row>
    <row r="43" spans="8:17" s="493" customFormat="1" ht="15.95" customHeight="1">
      <c r="Q43" s="494"/>
    </row>
    <row r="44" spans="8:17" s="493" customFormat="1" ht="15.95" customHeight="1">
      <c r="Q44" s="494"/>
    </row>
    <row r="45" spans="8:17" s="493" customFormat="1" ht="15.95" customHeight="1">
      <c r="Q45" s="494"/>
    </row>
    <row r="46" spans="8:17" s="493" customFormat="1" ht="15.95" customHeight="1">
      <c r="Q46" s="494"/>
    </row>
    <row r="47" spans="8:17" s="493" customFormat="1" ht="15.95" customHeight="1">
      <c r="Q47" s="494"/>
    </row>
    <row r="48" spans="8:17" s="493" customFormat="1" ht="15.95" customHeight="1">
      <c r="Q48" s="494"/>
    </row>
    <row r="49" spans="17:17" s="493" customFormat="1" ht="15.95" customHeight="1">
      <c r="Q49" s="494"/>
    </row>
    <row r="50" spans="17:17" s="493" customFormat="1" ht="15.95" customHeight="1">
      <c r="Q50" s="494"/>
    </row>
    <row r="51" spans="17:17" s="493" customFormat="1" ht="15.95" customHeight="1">
      <c r="Q51" s="494"/>
    </row>
    <row r="52" spans="17:17" s="493" customFormat="1" ht="15.95" customHeight="1">
      <c r="Q52" s="494"/>
    </row>
    <row r="53" spans="17:17" s="493" customFormat="1" ht="15.95" customHeight="1">
      <c r="Q53" s="494"/>
    </row>
    <row r="54" spans="17:17" s="493" customFormat="1" ht="15.95" customHeight="1">
      <c r="Q54" s="494"/>
    </row>
    <row r="55" spans="17:17" s="493" customFormat="1" ht="15.95" customHeight="1">
      <c r="Q55" s="494"/>
    </row>
    <row r="56" spans="17:17" s="493" customFormat="1" ht="15.95" customHeight="1">
      <c r="Q56" s="494"/>
    </row>
    <row r="57" spans="17:17" s="493" customFormat="1" ht="15.95" customHeight="1">
      <c r="Q57" s="494"/>
    </row>
    <row r="58" spans="17:17" s="493" customFormat="1" ht="15.95" customHeight="1">
      <c r="Q58" s="494"/>
    </row>
    <row r="59" spans="17:17" s="493" customFormat="1" ht="15.95" customHeight="1">
      <c r="Q59" s="494"/>
    </row>
    <row r="60" spans="17:17" s="493" customFormat="1" ht="15.95" customHeight="1">
      <c r="Q60" s="494"/>
    </row>
    <row r="61" spans="17:17" s="493" customFormat="1" ht="15.95" customHeight="1">
      <c r="Q61" s="494"/>
    </row>
    <row r="62" spans="17:17" s="493" customFormat="1" ht="15.95" customHeight="1">
      <c r="Q62" s="494"/>
    </row>
    <row r="63" spans="17:17" s="493" customFormat="1" ht="15.95" customHeight="1">
      <c r="Q63" s="494"/>
    </row>
    <row r="64" spans="17:17" s="493" customFormat="1" ht="15.95" customHeight="1">
      <c r="Q64" s="494"/>
    </row>
    <row r="65" spans="17:17" s="493" customFormat="1" ht="15.95" customHeight="1">
      <c r="Q65" s="494"/>
    </row>
    <row r="66" spans="17:17" s="493" customFormat="1" ht="15.95" customHeight="1">
      <c r="Q66" s="494"/>
    </row>
    <row r="67" spans="17:17" s="493" customFormat="1" ht="15.95" customHeight="1">
      <c r="Q67" s="494"/>
    </row>
    <row r="68" spans="17:17" s="493" customFormat="1" ht="15.95" customHeight="1">
      <c r="Q68" s="494"/>
    </row>
    <row r="69" spans="17:17" s="493" customFormat="1" ht="15.95" customHeight="1">
      <c r="Q69" s="494"/>
    </row>
    <row r="70" spans="17:17" s="493" customFormat="1" ht="15.95" customHeight="1">
      <c r="Q70" s="494"/>
    </row>
    <row r="71" spans="17:17" s="493" customFormat="1" ht="15.95" customHeight="1">
      <c r="Q71" s="494"/>
    </row>
    <row r="72" spans="17:17" s="493" customFormat="1" ht="15.95" customHeight="1">
      <c r="Q72" s="494"/>
    </row>
    <row r="73" spans="17:17" s="493" customFormat="1" ht="15.95" customHeight="1">
      <c r="Q73" s="494"/>
    </row>
    <row r="74" spans="17:17" s="493" customFormat="1" ht="15.95" customHeight="1">
      <c r="Q74" s="494"/>
    </row>
    <row r="75" spans="17:17" s="493" customFormat="1" ht="15.95" customHeight="1">
      <c r="Q75" s="494"/>
    </row>
    <row r="76" spans="17:17" s="493" customFormat="1" ht="15.95" customHeight="1">
      <c r="Q76" s="494"/>
    </row>
    <row r="77" spans="17:17" s="493" customFormat="1" ht="15.95" customHeight="1">
      <c r="Q77" s="494"/>
    </row>
    <row r="78" spans="17:17" s="493" customFormat="1" ht="15.95" customHeight="1">
      <c r="Q78" s="494"/>
    </row>
    <row r="79" spans="17:17" s="493" customFormat="1" ht="15.95" customHeight="1">
      <c r="Q79" s="494"/>
    </row>
    <row r="80" spans="17:17" s="493" customFormat="1" ht="15.95" customHeight="1">
      <c r="Q80" s="494"/>
    </row>
    <row r="81" spans="17:17" s="493" customFormat="1" ht="15.95" customHeight="1">
      <c r="Q81" s="494"/>
    </row>
    <row r="82" spans="17:17" s="493" customFormat="1" ht="15.95" customHeight="1">
      <c r="Q82" s="494"/>
    </row>
    <row r="83" spans="17:17" s="493" customFormat="1" ht="15.95" customHeight="1">
      <c r="Q83" s="494"/>
    </row>
    <row r="84" spans="17:17" s="493" customFormat="1" ht="15.95" customHeight="1">
      <c r="Q84" s="494"/>
    </row>
    <row r="85" spans="17:17" s="493" customFormat="1" ht="15.95" customHeight="1">
      <c r="Q85" s="494"/>
    </row>
    <row r="86" spans="17:17" s="493" customFormat="1" ht="15.95" customHeight="1">
      <c r="Q86" s="494"/>
    </row>
    <row r="87" spans="17:17" s="493" customFormat="1" ht="15.95" customHeight="1">
      <c r="Q87" s="494"/>
    </row>
    <row r="88" spans="17:17" s="493" customFormat="1" ht="15.95" customHeight="1">
      <c r="Q88" s="494"/>
    </row>
    <row r="89" spans="17:17" s="493" customFormat="1" ht="15.95" customHeight="1">
      <c r="Q89" s="494"/>
    </row>
    <row r="90" spans="17:17" s="493" customFormat="1" ht="15.95" customHeight="1">
      <c r="Q90" s="494"/>
    </row>
    <row r="91" spans="17:17" s="493" customFormat="1" ht="15.95" customHeight="1">
      <c r="Q91" s="494"/>
    </row>
    <row r="92" spans="17:17" s="493" customFormat="1" ht="15.95" customHeight="1">
      <c r="Q92" s="494"/>
    </row>
    <row r="93" spans="17:17" s="493" customFormat="1" ht="15.95" customHeight="1">
      <c r="Q93" s="494"/>
    </row>
    <row r="94" spans="17:17" s="493" customFormat="1" ht="15.95" customHeight="1">
      <c r="Q94" s="494"/>
    </row>
    <row r="95" spans="17:17" s="493" customFormat="1" ht="15.95" customHeight="1">
      <c r="Q95" s="494"/>
    </row>
    <row r="96" spans="17:17" s="493" customFormat="1" ht="15.95" customHeight="1">
      <c r="Q96" s="494"/>
    </row>
    <row r="97" spans="2:17" s="493" customFormat="1" ht="15.95" customHeight="1">
      <c r="Q97" s="494"/>
    </row>
    <row r="98" spans="2:17" s="493" customFormat="1" ht="15.95" customHeight="1">
      <c r="Q98" s="494"/>
    </row>
    <row r="99" spans="2:17" s="493" customFormat="1" ht="15.95" customHeight="1">
      <c r="Q99" s="494"/>
    </row>
    <row r="100" spans="2:17" s="493" customFormat="1" ht="15.95" customHeight="1">
      <c r="Q100" s="494"/>
    </row>
    <row r="101" spans="2:17" s="493" customFormat="1" ht="15.95" customHeight="1">
      <c r="Q101" s="494"/>
    </row>
    <row r="102" spans="2:17" s="493" customFormat="1" ht="15.95" customHeight="1">
      <c r="Q102" s="494"/>
    </row>
    <row r="103" spans="2:17" s="493" customFormat="1" ht="15.95" customHeight="1">
      <c r="Q103" s="494"/>
    </row>
    <row r="104" spans="2:17" s="493" customFormat="1" ht="15.95" customHeight="1">
      <c r="Q104" s="494"/>
    </row>
    <row r="105" spans="2:17" s="493" customFormat="1" ht="15.95" customHeight="1">
      <c r="Q105" s="494"/>
    </row>
    <row r="106" spans="2:17" s="493" customFormat="1" ht="15.95" customHeight="1">
      <c r="Q106" s="494"/>
    </row>
    <row r="107" spans="2:17" s="493" customFormat="1" ht="15.95" customHeight="1">
      <c r="Q107" s="494"/>
    </row>
    <row r="108" spans="2:17" s="493" customFormat="1" ht="15.95" customHeight="1">
      <c r="Q108" s="494"/>
    </row>
    <row r="109" spans="2:17" ht="15.95" customHeight="1">
      <c r="B109" s="493"/>
      <c r="C109" s="493"/>
      <c r="D109" s="493"/>
      <c r="E109" s="493"/>
      <c r="F109" s="493"/>
    </row>
  </sheetData>
  <mergeCells count="2">
    <mergeCell ref="D18:F18"/>
    <mergeCell ref="B4:G4"/>
  </mergeCells>
  <phoneticPr fontId="2" type="noConversion"/>
  <printOptions horizontalCentered="1"/>
  <pageMargins left="0.74803149606299213" right="0.74803149606299213" top="0.82677165354330717" bottom="0.62992125984251968" header="0.51181102362204722" footer="0.51181102362204722"/>
  <pageSetup paperSize="9" scale="75" fitToHeight="4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3"/>
    <pageSetUpPr fitToPage="1"/>
  </sheetPr>
  <dimension ref="A1:AA23"/>
  <sheetViews>
    <sheetView view="pageBreakPreview" zoomScale="85" zoomScaleNormal="55" zoomScaleSheetLayoutView="70" workbookViewId="0">
      <selection activeCell="A2" sqref="A2"/>
    </sheetView>
  </sheetViews>
  <sheetFormatPr defaultRowHeight="15.95" customHeight="1"/>
  <cols>
    <col min="1" max="1" width="2.77734375" style="207" customWidth="1"/>
    <col min="2" max="2" width="17.5546875" style="207" customWidth="1"/>
    <col min="3" max="3" width="13.44140625" style="207" customWidth="1"/>
    <col min="4" max="5" width="14.21875" style="207" customWidth="1"/>
    <col min="6" max="7" width="14.6640625" style="207" customWidth="1"/>
    <col min="8" max="8" width="18.33203125" style="207" customWidth="1"/>
    <col min="9" max="12" width="5.6640625" style="207" bestFit="1" customWidth="1"/>
    <col min="13" max="13" width="6.5546875" style="207" customWidth="1"/>
    <col min="14" max="14" width="6.44140625" style="207" customWidth="1"/>
    <col min="15" max="15" width="5.6640625" style="207" bestFit="1" customWidth="1"/>
    <col min="16" max="16" width="6" style="207" bestFit="1" customWidth="1"/>
    <col min="17" max="19" width="5.6640625" style="207" bestFit="1" customWidth="1"/>
    <col min="20" max="20" width="5.77734375" style="207" customWidth="1"/>
    <col min="21" max="21" width="5.6640625" style="207" bestFit="1" customWidth="1"/>
    <col min="22" max="22" width="5.5546875" style="207" customWidth="1"/>
    <col min="23" max="24" width="7.88671875" style="207" customWidth="1"/>
    <col min="25" max="25" width="9.109375" style="207" customWidth="1"/>
    <col min="26" max="26" width="8.33203125" style="207" customWidth="1"/>
    <col min="27" max="27" width="7.88671875" style="374" customWidth="1"/>
    <col min="28" max="28" width="6.33203125" style="207" bestFit="1" customWidth="1"/>
    <col min="29" max="29" width="8.77734375" style="207" customWidth="1"/>
    <col min="30" max="30" width="6.33203125" style="207" bestFit="1" customWidth="1"/>
    <col min="31" max="31" width="8.5546875" style="207" customWidth="1"/>
    <col min="32" max="32" width="7.5546875" style="207" bestFit="1" customWidth="1"/>
    <col min="33" max="33" width="6" style="207" customWidth="1"/>
    <col min="34" max="34" width="9.44140625" style="207" customWidth="1"/>
    <col min="35" max="35" width="4" style="207" customWidth="1"/>
    <col min="36" max="36" width="7.77734375" style="207" customWidth="1"/>
    <col min="37" max="16384" width="8.88671875" style="207"/>
  </cols>
  <sheetData>
    <row r="1" spans="1:27" s="365" customFormat="1" ht="39.950000000000003" customHeight="1">
      <c r="A1" s="364"/>
      <c r="B1" s="364" t="s">
        <v>209</v>
      </c>
      <c r="AA1" s="366"/>
    </row>
    <row r="2" spans="1:27" s="218" customFormat="1" ht="39.950000000000003" customHeight="1">
      <c r="A2" s="363"/>
      <c r="AA2" s="367"/>
    </row>
    <row r="3" spans="1:27" s="218" customFormat="1" ht="50.1" customHeight="1">
      <c r="A3" s="363"/>
      <c r="B3" s="604" t="s">
        <v>205</v>
      </c>
      <c r="C3" s="1025" t="s">
        <v>537</v>
      </c>
      <c r="D3" s="1025"/>
      <c r="E3" s="1025"/>
      <c r="F3" s="1025"/>
      <c r="G3" s="1025"/>
      <c r="H3" s="1025"/>
      <c r="AA3" s="367"/>
    </row>
    <row r="4" spans="1:27" s="218" customFormat="1" ht="50.1" customHeight="1">
      <c r="A4" s="363"/>
      <c r="B4" s="1027" t="s">
        <v>301</v>
      </c>
      <c r="C4" s="1028"/>
      <c r="D4" s="1028"/>
      <c r="E4" s="1028"/>
      <c r="F4" s="1028"/>
      <c r="G4" s="1028"/>
      <c r="H4" s="1029"/>
      <c r="AA4" s="367"/>
    </row>
    <row r="5" spans="1:27" s="218" customFormat="1" ht="50.1" customHeight="1">
      <c r="A5" s="363"/>
      <c r="B5" s="604" t="s">
        <v>703</v>
      </c>
      <c r="C5" s="1030"/>
      <c r="D5" s="1030"/>
      <c r="E5" s="604" t="s">
        <v>307</v>
      </c>
      <c r="F5" s="1030"/>
      <c r="G5" s="1030"/>
      <c r="H5" s="1030"/>
      <c r="W5" s="367"/>
    </row>
    <row r="6" spans="1:27" s="218" customFormat="1" ht="50.1" customHeight="1">
      <c r="A6" s="363"/>
      <c r="B6" s="604" t="s">
        <v>306</v>
      </c>
      <c r="C6" s="1025"/>
      <c r="D6" s="1025"/>
      <c r="E6" s="1025"/>
      <c r="F6" s="1025"/>
      <c r="G6" s="1025"/>
      <c r="H6" s="1025"/>
      <c r="W6" s="367"/>
    </row>
    <row r="7" spans="1:27" s="218" customFormat="1" ht="50.1" customHeight="1">
      <c r="A7" s="363"/>
      <c r="B7" s="604" t="s">
        <v>206</v>
      </c>
      <c r="C7" s="1025"/>
      <c r="D7" s="1025"/>
      <c r="E7" s="1025"/>
      <c r="F7" s="1026" t="s">
        <v>704</v>
      </c>
      <c r="G7" s="1026"/>
      <c r="H7" s="1026"/>
      <c r="AA7" s="367"/>
    </row>
    <row r="8" spans="1:27" s="218" customFormat="1" ht="50.1" customHeight="1">
      <c r="A8" s="363"/>
      <c r="B8" s="1026" t="s">
        <v>702</v>
      </c>
      <c r="C8" s="604" t="s">
        <v>295</v>
      </c>
      <c r="D8" s="604" t="s">
        <v>207</v>
      </c>
      <c r="E8" s="604" t="s">
        <v>296</v>
      </c>
      <c r="F8" s="604" t="s">
        <v>297</v>
      </c>
      <c r="G8" s="604" t="s">
        <v>298</v>
      </c>
      <c r="H8" s="604" t="s">
        <v>299</v>
      </c>
      <c r="AA8" s="367"/>
    </row>
    <row r="9" spans="1:27" s="218" customFormat="1" ht="60" customHeight="1">
      <c r="B9" s="1026"/>
      <c r="C9" s="606" t="s">
        <v>262</v>
      </c>
      <c r="D9" s="647"/>
      <c r="E9" s="647"/>
      <c r="F9" s="606"/>
      <c r="G9" s="606"/>
      <c r="H9" s="606"/>
    </row>
    <row r="10" spans="1:27" ht="20.100000000000001" customHeight="1">
      <c r="I10" s="373"/>
      <c r="J10" s="373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</row>
    <row r="11" spans="1:27" ht="18.75" customHeight="1">
      <c r="B11" s="449"/>
      <c r="C11" s="607"/>
      <c r="D11" s="608"/>
      <c r="E11" s="608"/>
      <c r="F11" s="451"/>
      <c r="G11" s="451"/>
      <c r="H11" s="607"/>
      <c r="I11" s="607"/>
      <c r="J11" s="608"/>
      <c r="K11" s="607"/>
      <c r="L11" s="608"/>
      <c r="M11" s="451"/>
      <c r="N11" s="451"/>
    </row>
    <row r="12" spans="1:27" ht="18.75" customHeight="1">
      <c r="B12" s="46" t="s">
        <v>666</v>
      </c>
      <c r="C12" s="45" t="s">
        <v>300</v>
      </c>
      <c r="D12" s="30"/>
      <c r="E12" s="30"/>
      <c r="F12" s="30"/>
      <c r="G12" s="30"/>
      <c r="H12" s="648"/>
    </row>
    <row r="13" spans="1:27" ht="15.95" customHeight="1">
      <c r="B13" s="46" t="s">
        <v>700</v>
      </c>
      <c r="C13" s="45" t="s">
        <v>701</v>
      </c>
      <c r="D13" s="30"/>
      <c r="E13" s="30"/>
      <c r="F13" s="30"/>
      <c r="G13" s="30"/>
      <c r="H13" s="30"/>
    </row>
    <row r="14" spans="1:27" ht="15.95" customHeight="1">
      <c r="B14" s="46"/>
      <c r="C14" s="45"/>
      <c r="D14" s="30"/>
      <c r="E14" s="30"/>
      <c r="F14" s="30"/>
      <c r="G14" s="30"/>
      <c r="H14" s="30"/>
    </row>
    <row r="15" spans="1:27" ht="15.95" customHeight="1">
      <c r="B15" s="46"/>
      <c r="C15" s="45"/>
      <c r="D15" s="30"/>
      <c r="E15" s="30"/>
      <c r="F15" s="30"/>
      <c r="G15" s="30"/>
      <c r="H15" s="30"/>
    </row>
    <row r="16" spans="1:27" ht="15.95" customHeight="1">
      <c r="B16" s="30"/>
      <c r="C16" s="30"/>
      <c r="D16" s="30"/>
      <c r="E16" s="30"/>
      <c r="F16" s="30"/>
      <c r="G16" s="30"/>
      <c r="H16" s="30"/>
    </row>
    <row r="23" spans="16:16" ht="15.95" customHeight="1">
      <c r="P23" s="219"/>
    </row>
  </sheetData>
  <mergeCells count="8">
    <mergeCell ref="C6:H6"/>
    <mergeCell ref="B8:B9"/>
    <mergeCell ref="C7:E7"/>
    <mergeCell ref="C3:H3"/>
    <mergeCell ref="F7:H7"/>
    <mergeCell ref="B4:H4"/>
    <mergeCell ref="C5:D5"/>
    <mergeCell ref="F5:H5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landscape" horizontalDpi="4294967293" r:id="rId1"/>
  <headerFooter alignWithMargins="0"/>
  <colBreaks count="1" manualBreakCount="1">
    <brk id="34" max="62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  <pageSetUpPr fitToPage="1"/>
  </sheetPr>
  <dimension ref="A1:P21"/>
  <sheetViews>
    <sheetView view="pageBreakPreview" zoomScale="85" workbookViewId="0">
      <selection activeCell="F11" sqref="F11"/>
    </sheetView>
  </sheetViews>
  <sheetFormatPr defaultRowHeight="15.95" customHeight="1"/>
  <cols>
    <col min="1" max="1" width="2.109375" style="207" customWidth="1"/>
    <col min="2" max="2" width="26.6640625" style="207" customWidth="1"/>
    <col min="3" max="3" width="28.21875" style="207" customWidth="1"/>
    <col min="4" max="4" width="17.6640625" style="207" customWidth="1"/>
    <col min="5" max="5" width="16.44140625" style="646" customWidth="1"/>
    <col min="6" max="7" width="13.77734375" style="374" customWidth="1"/>
    <col min="8" max="8" width="11.33203125" style="207" customWidth="1"/>
    <col min="9" max="9" width="19" style="207" customWidth="1"/>
    <col min="10" max="10" width="10.5546875" style="207" customWidth="1"/>
    <col min="11" max="11" width="7.44140625" style="207" bestFit="1" customWidth="1"/>
    <col min="12" max="12" width="11.88671875" style="207" customWidth="1"/>
    <col min="13" max="13" width="11.109375" style="207" customWidth="1"/>
    <col min="14" max="16384" width="8.88671875" style="207"/>
  </cols>
  <sheetData>
    <row r="1" spans="1:12" s="529" customFormat="1" ht="39.950000000000003" customHeight="1">
      <c r="A1" s="617" t="s">
        <v>174</v>
      </c>
      <c r="E1" s="618"/>
      <c r="F1" s="619"/>
      <c r="G1" s="619"/>
    </row>
    <row r="2" spans="1:12" s="336" customFormat="1" ht="39.950000000000003" customHeight="1" thickBot="1">
      <c r="A2" s="616"/>
      <c r="E2" s="620"/>
      <c r="F2" s="621"/>
      <c r="G2" s="621"/>
    </row>
    <row r="3" spans="1:12" s="218" customFormat="1" ht="39.950000000000003" customHeight="1">
      <c r="B3" s="622" t="s">
        <v>153</v>
      </c>
      <c r="C3" s="623" t="s">
        <v>54</v>
      </c>
      <c r="D3" s="623" t="s">
        <v>70</v>
      </c>
      <c r="E3" s="624" t="s">
        <v>73</v>
      </c>
      <c r="F3" s="1031" t="s">
        <v>83</v>
      </c>
      <c r="G3" s="1032"/>
      <c r="H3" s="625" t="s">
        <v>55</v>
      </c>
    </row>
    <row r="4" spans="1:12" s="218" customFormat="1" ht="39.950000000000003" customHeight="1">
      <c r="B4" s="1037" t="s">
        <v>238</v>
      </c>
      <c r="C4" s="535" t="str">
        <f>참여업체!B6</f>
        <v>oo엔지니어링</v>
      </c>
      <c r="D4" s="626">
        <f>'유사(000)'!M10</f>
        <v>2.57</v>
      </c>
      <c r="E4" s="627">
        <f>참여업체!B7</f>
        <v>0.42</v>
      </c>
      <c r="F4" s="1033">
        <f>(D4*E4)+(D5+E5)+(D6*E6)</f>
        <v>3.5591499999999998</v>
      </c>
      <c r="G4" s="1034"/>
      <c r="H4" s="1040">
        <f>IF(F4&gt;=배점기준!$E$73,배점기준!$E$74,IF(F4&gt;=배점기준!$F$73,배점기준!$F$74,IF(F4&gt;=배점기준!$G$73,배점기준!$G$74,배점기준!$H$74)))</f>
        <v>6</v>
      </c>
    </row>
    <row r="5" spans="1:12" s="218" customFormat="1" ht="39.950000000000003" customHeight="1">
      <c r="B5" s="1038"/>
      <c r="C5" s="628" t="str">
        <f>참여업체!C6</f>
        <v>＊＊엔지니어링</v>
      </c>
      <c r="D5" s="820">
        <f>'유사(0001)'!M8</f>
        <v>1.45</v>
      </c>
      <c r="E5" s="821">
        <f>참여업체!C7</f>
        <v>0.33</v>
      </c>
      <c r="F5" s="1035"/>
      <c r="G5" s="1036"/>
      <c r="H5" s="1041"/>
    </row>
    <row r="6" spans="1:12" s="218" customFormat="1" ht="39.950000000000003" customHeight="1">
      <c r="B6" s="1039"/>
      <c r="C6" s="543" t="str">
        <f>참여업체!D6</f>
        <v>☆☆엔지니어링</v>
      </c>
      <c r="D6" s="629">
        <f>'유사(0002)'!M10</f>
        <v>2.7989999999999999</v>
      </c>
      <c r="E6" s="630">
        <f>참여업체!D7</f>
        <v>0.25</v>
      </c>
      <c r="F6" s="1035"/>
      <c r="G6" s="1036"/>
      <c r="H6" s="1041"/>
    </row>
    <row r="7" spans="1:12" ht="39.950000000000003" customHeight="1">
      <c r="B7" s="1037" t="s">
        <v>239</v>
      </c>
      <c r="C7" s="535" t="str">
        <f>C4</f>
        <v>oo엔지니어링</v>
      </c>
      <c r="D7" s="631">
        <f>'유사(000)'!K10</f>
        <v>9110.887999999999</v>
      </c>
      <c r="E7" s="627">
        <f>참여업체!B7</f>
        <v>0.42</v>
      </c>
      <c r="F7" s="1043">
        <f>(D7*E7)+(D8*E8)+(D9*E9)</f>
        <v>7074.4034599999995</v>
      </c>
      <c r="G7" s="1046">
        <f>F7/(배점기준!G6/1000)</f>
        <v>4.6981684961737411</v>
      </c>
      <c r="H7" s="1040">
        <f>(IF(G7&gt;=배점기준!D77,배점기준!D78,IF(G7&gt;=배점기준!E77,배점기준!E78,IF(G7&gt;=배점기준!F77,배점기준!F78,IF(G7&gt;=배점기준!G77,배점기준!G78,IF(G7&gt;=배점기준!H77,배점기준!H78,배점기준!I78))))))</f>
        <v>6</v>
      </c>
      <c r="J7" s="445"/>
    </row>
    <row r="8" spans="1:12" ht="39.950000000000003" customHeight="1">
      <c r="B8" s="1038"/>
      <c r="C8" s="628" t="str">
        <f>C5</f>
        <v>＊＊엔지니어링</v>
      </c>
      <c r="D8" s="632">
        <f>'유사(0001)'!K8</f>
        <v>7416.0999999999985</v>
      </c>
      <c r="E8" s="586">
        <f>참여업체!C7</f>
        <v>0.33</v>
      </c>
      <c r="F8" s="1044"/>
      <c r="G8" s="1047"/>
      <c r="H8" s="1041"/>
      <c r="J8" s="445"/>
    </row>
    <row r="9" spans="1:12" ht="39.950000000000003" customHeight="1" thickBot="1">
      <c r="B9" s="1039"/>
      <c r="C9" s="551" t="str">
        <f>C6</f>
        <v>☆☆엔지니어링</v>
      </c>
      <c r="D9" s="633">
        <f>'유사(0002)'!K10</f>
        <v>3202.07</v>
      </c>
      <c r="E9" s="634">
        <f>참여업체!D7</f>
        <v>0.25</v>
      </c>
      <c r="F9" s="1045"/>
      <c r="G9" s="1048"/>
      <c r="H9" s="1042"/>
      <c r="J9" s="445"/>
      <c r="L9" s="445"/>
    </row>
    <row r="10" spans="1:12" ht="39.950000000000003" customHeight="1">
      <c r="B10" s="1049" t="s">
        <v>335</v>
      </c>
      <c r="C10" s="635" t="s">
        <v>286</v>
      </c>
      <c r="D10" s="636" t="s">
        <v>287</v>
      </c>
      <c r="E10" s="636" t="s">
        <v>337</v>
      </c>
      <c r="F10" s="637" t="s">
        <v>271</v>
      </c>
      <c r="G10" s="207"/>
      <c r="H10" s="491"/>
      <c r="I10" s="491"/>
      <c r="J10" s="491"/>
      <c r="K10" s="491"/>
    </row>
    <row r="11" spans="1:12" ht="39.950000000000003" customHeight="1" thickBot="1">
      <c r="B11" s="1050"/>
      <c r="C11" s="638"/>
      <c r="D11" s="639"/>
      <c r="E11" s="639"/>
      <c r="F11" s="640">
        <f>C11*D11*E11</f>
        <v>0</v>
      </c>
      <c r="G11" s="207"/>
      <c r="H11" s="491"/>
      <c r="I11" s="491"/>
      <c r="J11" s="491"/>
      <c r="K11" s="491"/>
    </row>
    <row r="12" spans="1:12" ht="39.950000000000003" customHeight="1">
      <c r="B12" s="491"/>
      <c r="C12" s="491"/>
      <c r="D12" s="491"/>
      <c r="E12" s="641"/>
      <c r="F12" s="642"/>
      <c r="G12" s="642"/>
      <c r="I12" s="491"/>
      <c r="J12" s="491"/>
      <c r="K12" s="491"/>
      <c r="L12" s="491"/>
    </row>
    <row r="13" spans="1:12" ht="15.95" customHeight="1">
      <c r="B13" s="491"/>
      <c r="D13" s="491"/>
      <c r="E13" s="641"/>
      <c r="F13" s="642"/>
      <c r="G13" s="642"/>
      <c r="I13" s="491"/>
      <c r="J13" s="491"/>
      <c r="K13" s="491"/>
      <c r="L13" s="491"/>
    </row>
    <row r="14" spans="1:12" ht="15.95" customHeight="1">
      <c r="B14" s="491"/>
      <c r="D14" s="643"/>
      <c r="E14" s="644"/>
      <c r="F14" s="645"/>
      <c r="G14" s="645"/>
      <c r="I14" s="491"/>
      <c r="J14" s="643"/>
      <c r="K14" s="643"/>
      <c r="L14" s="643"/>
    </row>
    <row r="15" spans="1:12" ht="15.95" customHeight="1">
      <c r="B15" s="491"/>
      <c r="D15" s="643"/>
      <c r="E15" s="644"/>
      <c r="F15" s="645"/>
      <c r="G15" s="645"/>
      <c r="I15" s="491"/>
      <c r="J15" s="643"/>
      <c r="K15" s="643"/>
      <c r="L15" s="643"/>
    </row>
    <row r="16" spans="1:12" ht="15.95" customHeight="1">
      <c r="B16" s="491"/>
      <c r="D16" s="643"/>
      <c r="E16" s="644"/>
      <c r="F16" s="645"/>
      <c r="G16" s="645"/>
      <c r="I16" s="491"/>
      <c r="J16" s="643"/>
      <c r="K16" s="643"/>
      <c r="L16" s="643"/>
    </row>
    <row r="17" spans="2:16" ht="15.95" customHeight="1">
      <c r="B17" s="491"/>
      <c r="C17" s="491"/>
      <c r="D17" s="491"/>
      <c r="E17" s="641"/>
      <c r="F17" s="642"/>
      <c r="G17" s="642"/>
      <c r="I17" s="491"/>
      <c r="J17" s="491"/>
      <c r="K17" s="491"/>
      <c r="L17" s="491"/>
    </row>
    <row r="18" spans="2:16" ht="15.95" customHeight="1">
      <c r="B18" s="491"/>
      <c r="C18" s="491"/>
      <c r="D18" s="491"/>
      <c r="E18" s="641"/>
      <c r="F18" s="642"/>
      <c r="G18" s="642"/>
      <c r="I18" s="491"/>
      <c r="J18" s="491"/>
      <c r="K18" s="491"/>
      <c r="L18" s="491"/>
    </row>
    <row r="19" spans="2:16" ht="15.95" customHeight="1">
      <c r="B19" s="491"/>
      <c r="C19" s="491"/>
      <c r="D19" s="491"/>
      <c r="E19" s="641"/>
      <c r="F19" s="642"/>
      <c r="G19" s="642"/>
      <c r="I19" s="491"/>
      <c r="J19" s="491"/>
      <c r="K19" s="491"/>
      <c r="L19" s="491"/>
    </row>
    <row r="20" spans="2:16" ht="15.95" customHeight="1">
      <c r="B20" s="491"/>
      <c r="C20" s="491"/>
      <c r="D20" s="491"/>
      <c r="E20" s="641"/>
      <c r="F20" s="642"/>
      <c r="G20" s="642"/>
      <c r="I20" s="491"/>
      <c r="J20" s="491"/>
      <c r="K20" s="491"/>
      <c r="L20" s="491"/>
    </row>
    <row r="21" spans="2:16" ht="15.95" customHeight="1">
      <c r="P21" s="219"/>
    </row>
  </sheetData>
  <protectedRanges>
    <protectedRange password="CF2F" sqref="D10" name="범위2"/>
  </protectedRanges>
  <mergeCells count="9">
    <mergeCell ref="B10:B11"/>
    <mergeCell ref="F3:G3"/>
    <mergeCell ref="F4:G6"/>
    <mergeCell ref="B4:B6"/>
    <mergeCell ref="B7:B9"/>
    <mergeCell ref="H7:H9"/>
    <mergeCell ref="F7:F9"/>
    <mergeCell ref="G7:G9"/>
    <mergeCell ref="H4:H6"/>
  </mergeCells>
  <phoneticPr fontId="2" type="noConversion"/>
  <pageMargins left="0.75" right="0.75" top="1.1299999999999999" bottom="1" header="0.5" footer="0.5"/>
  <pageSetup paperSize="9" scale="86" orientation="landscape" horizontalDpi="4294967293" r:id="rId1"/>
  <headerFooter alignWithMargins="0"/>
  <rowBreaks count="1" manualBreakCount="1">
    <brk id="13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2"/>
  </sheetPr>
  <dimension ref="A1:R20"/>
  <sheetViews>
    <sheetView view="pageBreakPreview" zoomScale="85" zoomScaleNormal="115" zoomScaleSheetLayoutView="100" workbookViewId="0">
      <selection activeCell="A2" sqref="A2:A3"/>
    </sheetView>
  </sheetViews>
  <sheetFormatPr defaultRowHeight="12" customHeight="1"/>
  <cols>
    <col min="1" max="1" width="5" style="10" customWidth="1"/>
    <col min="2" max="2" width="26.6640625" style="26" customWidth="1"/>
    <col min="3" max="3" width="24.21875" style="26" customWidth="1"/>
    <col min="4" max="4" width="15.33203125" style="26" customWidth="1"/>
    <col min="5" max="6" width="10.77734375" style="26" customWidth="1"/>
    <col min="7" max="7" width="8.6640625" style="23" customWidth="1"/>
    <col min="8" max="8" width="11.33203125" style="17" customWidth="1"/>
    <col min="9" max="9" width="7.33203125" style="17" customWidth="1"/>
    <col min="10" max="10" width="8.6640625" style="17" customWidth="1"/>
    <col min="11" max="11" width="10.77734375" style="17" customWidth="1"/>
    <col min="12" max="12" width="7.77734375" style="17" customWidth="1"/>
    <col min="13" max="13" width="7.77734375" style="12" customWidth="1"/>
    <col min="14" max="14" width="6.109375" style="10" customWidth="1"/>
    <col min="15" max="15" width="1.44140625" style="10" customWidth="1"/>
    <col min="16" max="16" width="0" style="10" hidden="1" customWidth="1"/>
    <col min="17" max="16384" width="8.88671875" style="10"/>
  </cols>
  <sheetData>
    <row r="1" spans="1:18" s="65" customFormat="1" ht="30" customHeight="1" thickBot="1">
      <c r="A1" s="1057" t="s">
        <v>524</v>
      </c>
      <c r="B1" s="1057"/>
      <c r="C1" s="141" t="str">
        <f>참여업체!B6</f>
        <v>oo엔지니어링</v>
      </c>
      <c r="D1" s="62"/>
      <c r="E1" s="62"/>
      <c r="F1" s="62"/>
      <c r="G1" s="63"/>
      <c r="H1" s="64"/>
      <c r="I1" s="64"/>
      <c r="K1" s="64"/>
      <c r="L1" s="64"/>
      <c r="M1" s="66"/>
    </row>
    <row r="2" spans="1:18" s="47" customFormat="1" ht="28.5" customHeight="1">
      <c r="A2" s="992" t="s">
        <v>192</v>
      </c>
      <c r="B2" s="994" t="s">
        <v>31</v>
      </c>
      <c r="C2" s="1005" t="s">
        <v>32</v>
      </c>
      <c r="D2" s="1005" t="s">
        <v>662</v>
      </c>
      <c r="E2" s="1052" t="s">
        <v>33</v>
      </c>
      <c r="F2" s="1053"/>
      <c r="G2" s="1007" t="s">
        <v>230</v>
      </c>
      <c r="H2" s="1061" t="s">
        <v>36</v>
      </c>
      <c r="I2" s="1054" t="s">
        <v>453</v>
      </c>
      <c r="J2" s="1001" t="s">
        <v>51</v>
      </c>
      <c r="K2" s="1001" t="s">
        <v>41</v>
      </c>
      <c r="L2" s="1001" t="s">
        <v>451</v>
      </c>
      <c r="M2" s="1001" t="s">
        <v>452</v>
      </c>
      <c r="N2" s="1011" t="s">
        <v>193</v>
      </c>
    </row>
    <row r="3" spans="1:18" s="47" customFormat="1" ht="30.75" customHeight="1">
      <c r="A3" s="993"/>
      <c r="B3" s="995"/>
      <c r="C3" s="1006"/>
      <c r="D3" s="1006"/>
      <c r="E3" s="783" t="s">
        <v>34</v>
      </c>
      <c r="F3" s="783" t="s">
        <v>35</v>
      </c>
      <c r="G3" s="1008"/>
      <c r="H3" s="1062"/>
      <c r="I3" s="1055"/>
      <c r="J3" s="1002"/>
      <c r="K3" s="1002"/>
      <c r="L3" s="1002"/>
      <c r="M3" s="1002"/>
      <c r="N3" s="1051"/>
      <c r="P3" s="47" t="s">
        <v>413</v>
      </c>
    </row>
    <row r="4" spans="1:18" s="48" customFormat="1" ht="258.75" customHeight="1">
      <c r="A4" s="157">
        <v>1</v>
      </c>
      <c r="B4" s="158" t="s">
        <v>378</v>
      </c>
      <c r="C4" s="158" t="s">
        <v>10</v>
      </c>
      <c r="D4" s="159" t="s">
        <v>377</v>
      </c>
      <c r="E4" s="156">
        <v>37972</v>
      </c>
      <c r="F4" s="156">
        <v>41264</v>
      </c>
      <c r="G4" s="155">
        <v>1938</v>
      </c>
      <c r="H4" s="160">
        <f>1938-68.8-554.9-16-584.3-31.4-120.2</f>
        <v>562.4000000000002</v>
      </c>
      <c r="I4" s="154">
        <v>0.5</v>
      </c>
      <c r="J4" s="161">
        <f>IF(G4-H4&lt;230,0,G4-H4)</f>
        <v>1375.6</v>
      </c>
      <c r="K4" s="161">
        <f>J4*I4</f>
        <v>687.8</v>
      </c>
      <c r="L4" s="614">
        <f>(IF(J4&lt;배점기준!$E$75*100,0,IF(J4&lt;배점기준!$F$75*100,배점기준!$E$76,IF(J4&lt;배점기준!$G$75*100,배점기준!$F$76,배점기준!$G$76))))</f>
        <v>0.7</v>
      </c>
      <c r="M4" s="615">
        <f>I4*L4</f>
        <v>0.35</v>
      </c>
      <c r="N4" s="784"/>
      <c r="P4" s="611"/>
      <c r="Q4" s="611"/>
    </row>
    <row r="5" spans="1:18" s="48" customFormat="1" ht="256.5" customHeight="1">
      <c r="A5" s="157">
        <f t="shared" ref="A5:A9" si="0">A4+1</f>
        <v>2</v>
      </c>
      <c r="B5" s="158" t="s">
        <v>11</v>
      </c>
      <c r="C5" s="158" t="s">
        <v>343</v>
      </c>
      <c r="D5" s="159" t="s">
        <v>376</v>
      </c>
      <c r="E5" s="156">
        <v>38114</v>
      </c>
      <c r="F5" s="156">
        <v>40543</v>
      </c>
      <c r="G5" s="155">
        <v>2168</v>
      </c>
      <c r="H5" s="160">
        <f>2168-158.4-38.3-886.8</f>
        <v>1084.5</v>
      </c>
      <c r="I5" s="154">
        <v>0.4</v>
      </c>
      <c r="J5" s="161">
        <f t="shared" ref="J5:J9" si="1">IF(G5-H5&lt;230,0,G5-H5)</f>
        <v>1083.5</v>
      </c>
      <c r="K5" s="161">
        <f t="shared" ref="K5:K9" si="2">J5*I5</f>
        <v>433.40000000000003</v>
      </c>
      <c r="L5" s="614">
        <f>(IF(J5&lt;배점기준!$E$75*100,0,IF(J5&lt;배점기준!$F$75*100,배점기준!$E$76,IF(J5&lt;배점기준!$G$75*100,배점기준!$F$76,배점기준!$G$76))))</f>
        <v>0.7</v>
      </c>
      <c r="M5" s="615">
        <f t="shared" ref="M5:M9" si="3">I5*L5</f>
        <v>0.27999999999999997</v>
      </c>
      <c r="N5" s="784"/>
      <c r="P5" s="611"/>
      <c r="Q5" s="611"/>
    </row>
    <row r="6" spans="1:18" s="48" customFormat="1" ht="300" customHeight="1">
      <c r="A6" s="157">
        <f t="shared" si="0"/>
        <v>3</v>
      </c>
      <c r="B6" s="158" t="s">
        <v>403</v>
      </c>
      <c r="C6" s="158" t="s">
        <v>344</v>
      </c>
      <c r="D6" s="159" t="s">
        <v>404</v>
      </c>
      <c r="E6" s="156">
        <v>38168</v>
      </c>
      <c r="F6" s="156">
        <v>41639</v>
      </c>
      <c r="G6" s="155">
        <v>2216</v>
      </c>
      <c r="H6" s="160">
        <f>2216-96.9-439.6-607.5-65.5-163.5-37.4-159.3-58.9</f>
        <v>587.4</v>
      </c>
      <c r="I6" s="154">
        <v>0.48</v>
      </c>
      <c r="J6" s="161">
        <f t="shared" si="1"/>
        <v>1628.6</v>
      </c>
      <c r="K6" s="161">
        <f t="shared" si="2"/>
        <v>781.72799999999995</v>
      </c>
      <c r="L6" s="614">
        <f>(IF(J6&lt;배점기준!$E$75*100,0,IF(J6&lt;배점기준!$F$75*100,배점기준!$E$76,IF(J6&lt;배점기준!$G$75*100,배점기준!$F$76,배점기준!$G$76))))</f>
        <v>1</v>
      </c>
      <c r="M6" s="615">
        <f t="shared" si="3"/>
        <v>0.48</v>
      </c>
      <c r="N6" s="784"/>
      <c r="P6" s="611"/>
      <c r="Q6" s="611"/>
    </row>
    <row r="7" spans="1:18" s="48" customFormat="1" ht="219.75" customHeight="1">
      <c r="A7" s="157">
        <f t="shared" si="0"/>
        <v>4</v>
      </c>
      <c r="B7" s="158" t="s">
        <v>345</v>
      </c>
      <c r="C7" s="158" t="s">
        <v>346</v>
      </c>
      <c r="D7" s="159" t="s">
        <v>523</v>
      </c>
      <c r="E7" s="156">
        <v>38310</v>
      </c>
      <c r="F7" s="156">
        <v>41661</v>
      </c>
      <c r="G7" s="155">
        <v>11293</v>
      </c>
      <c r="H7" s="160">
        <f>11293-1331.9-6192.9-119.7-198.6</f>
        <v>3449.900000000001</v>
      </c>
      <c r="I7" s="154">
        <v>0.4</v>
      </c>
      <c r="J7" s="161">
        <f t="shared" si="1"/>
        <v>7843.0999999999985</v>
      </c>
      <c r="K7" s="161">
        <f t="shared" si="2"/>
        <v>3137.24</v>
      </c>
      <c r="L7" s="614">
        <f>(IF(J7&lt;배점기준!$E$75*100,0,IF(J7&lt;배점기준!$F$75*100,배점기준!$E$76,IF(J7&lt;배점기준!$G$75*100,배점기준!$F$76,배점기준!$G$76))))</f>
        <v>1.3</v>
      </c>
      <c r="M7" s="615">
        <f t="shared" si="3"/>
        <v>0.52</v>
      </c>
      <c r="N7" s="784"/>
      <c r="P7" s="611"/>
      <c r="Q7" s="611"/>
    </row>
    <row r="8" spans="1:18" s="48" customFormat="1" ht="179.25" customHeight="1">
      <c r="A8" s="157">
        <f t="shared" si="0"/>
        <v>5</v>
      </c>
      <c r="B8" s="158" t="s">
        <v>379</v>
      </c>
      <c r="C8" s="158" t="s">
        <v>347</v>
      </c>
      <c r="D8" s="159" t="s">
        <v>380</v>
      </c>
      <c r="E8" s="156">
        <v>38425</v>
      </c>
      <c r="F8" s="156">
        <v>40899</v>
      </c>
      <c r="G8" s="155">
        <v>9891</v>
      </c>
      <c r="H8" s="160">
        <f>9891-582.8-345-155.6-7329.8-190.7</f>
        <v>1287.1000000000001</v>
      </c>
      <c r="I8" s="154">
        <v>0.4</v>
      </c>
      <c r="J8" s="161">
        <f t="shared" si="1"/>
        <v>8603.9</v>
      </c>
      <c r="K8" s="161">
        <f t="shared" si="2"/>
        <v>3441.56</v>
      </c>
      <c r="L8" s="614">
        <f>(IF(J8&lt;배점기준!$E$75*100,0,IF(J8&lt;배점기준!$F$75*100,배점기준!$E$76,IF(J8&lt;배점기준!$G$75*100,배점기준!$F$76,배점기준!$G$76))))</f>
        <v>1.3</v>
      </c>
      <c r="M8" s="615">
        <f t="shared" si="3"/>
        <v>0.52</v>
      </c>
      <c r="N8" s="784"/>
      <c r="P8" s="611"/>
      <c r="Q8" s="611"/>
    </row>
    <row r="9" spans="1:18" s="48" customFormat="1" ht="117.75" customHeight="1" thickBot="1">
      <c r="A9" s="803">
        <f t="shared" si="0"/>
        <v>6</v>
      </c>
      <c r="B9" s="804" t="s">
        <v>348</v>
      </c>
      <c r="C9" s="804" t="s">
        <v>349</v>
      </c>
      <c r="D9" s="805" t="s">
        <v>523</v>
      </c>
      <c r="E9" s="806">
        <v>38448</v>
      </c>
      <c r="F9" s="806">
        <v>41639</v>
      </c>
      <c r="G9" s="807">
        <v>1690</v>
      </c>
      <c r="H9" s="808">
        <v>641.4</v>
      </c>
      <c r="I9" s="809">
        <v>0.6</v>
      </c>
      <c r="J9" s="810">
        <f t="shared" si="1"/>
        <v>1048.5999999999999</v>
      </c>
      <c r="K9" s="810">
        <f t="shared" si="2"/>
        <v>629.16</v>
      </c>
      <c r="L9" s="811">
        <f>(IF(J9&lt;배점기준!$E$75*100,0,IF(J9&lt;배점기준!$F$75*100,배점기준!$E$76,IF(J9&lt;배점기준!$G$75*100,배점기준!$F$76,배점기준!$G$76))))</f>
        <v>0.7</v>
      </c>
      <c r="M9" s="812">
        <f t="shared" si="3"/>
        <v>0.42</v>
      </c>
      <c r="N9" s="185"/>
      <c r="P9" s="611"/>
      <c r="Q9" s="611"/>
    </row>
    <row r="10" spans="1:18" s="48" customFormat="1" ht="35.1" customHeight="1" thickBot="1">
      <c r="A10" s="1058" t="s">
        <v>42</v>
      </c>
      <c r="B10" s="1059"/>
      <c r="C10" s="1059"/>
      <c r="D10" s="1059"/>
      <c r="E10" s="1059"/>
      <c r="F10" s="1059"/>
      <c r="G10" s="1059"/>
      <c r="H10" s="1059"/>
      <c r="I10" s="1060"/>
      <c r="J10" s="122"/>
      <c r="K10" s="123">
        <f>SUM(K4:K9)</f>
        <v>9110.887999999999</v>
      </c>
      <c r="L10" s="802"/>
      <c r="M10" s="613">
        <f>SUM(M4:M9)</f>
        <v>2.57</v>
      </c>
      <c r="N10" s="124"/>
    </row>
    <row r="11" spans="1:18" ht="20.100000000000001" customHeight="1">
      <c r="A11" s="31"/>
      <c r="B11" s="40"/>
      <c r="C11" s="40"/>
      <c r="D11" s="40"/>
      <c r="E11" s="40"/>
      <c r="F11" s="40"/>
      <c r="G11" s="41"/>
      <c r="H11" s="32"/>
      <c r="I11" s="32"/>
      <c r="J11" s="42"/>
      <c r="K11" s="42"/>
      <c r="L11" s="43"/>
      <c r="M11" s="44"/>
    </row>
    <row r="12" spans="1:18" s="57" customFormat="1" ht="20.100000000000001" customHeight="1">
      <c r="A12" s="36" t="s">
        <v>666</v>
      </c>
      <c r="B12" s="35" t="s">
        <v>737</v>
      </c>
      <c r="C12" s="35"/>
      <c r="D12" s="35"/>
      <c r="E12" s="35"/>
      <c r="F12" s="35"/>
      <c r="G12" s="67"/>
      <c r="H12" s="58"/>
      <c r="I12" s="58"/>
      <c r="J12" s="58"/>
      <c r="K12" s="58"/>
      <c r="L12" s="68"/>
      <c r="M12" s="60"/>
      <c r="N12" s="60"/>
      <c r="P12" s="36"/>
      <c r="Q12" s="36"/>
    </row>
    <row r="13" spans="1:18" s="57" customFormat="1" ht="20.100000000000001" customHeight="1">
      <c r="A13" s="36" t="s">
        <v>700</v>
      </c>
      <c r="B13" s="35" t="s">
        <v>37</v>
      </c>
      <c r="C13" s="181"/>
      <c r="D13" s="181"/>
      <c r="E13" s="181"/>
      <c r="F13" s="181"/>
      <c r="G13" s="69"/>
      <c r="H13" s="59"/>
      <c r="I13" s="59"/>
      <c r="J13" s="59"/>
      <c r="K13" s="149"/>
      <c r="L13" s="59"/>
      <c r="M13" s="60"/>
      <c r="R13" s="36"/>
    </row>
    <row r="14" spans="1:18" s="36" customFormat="1" ht="45" customHeight="1">
      <c r="A14" s="73" t="s">
        <v>730</v>
      </c>
      <c r="B14" s="1056" t="s">
        <v>736</v>
      </c>
      <c r="C14" s="1056"/>
      <c r="D14" s="1056"/>
      <c r="E14" s="1056"/>
      <c r="F14" s="1056"/>
      <c r="G14" s="1056"/>
      <c r="H14" s="1056"/>
      <c r="I14" s="1056"/>
      <c r="J14" s="1056"/>
      <c r="K14" s="1056"/>
      <c r="L14" s="1056"/>
      <c r="M14" s="37"/>
    </row>
    <row r="15" spans="1:18" s="36" customFormat="1" ht="20.100000000000001" customHeight="1">
      <c r="A15" s="73" t="s">
        <v>731</v>
      </c>
      <c r="B15" s="35" t="s">
        <v>735</v>
      </c>
      <c r="C15" s="35"/>
      <c r="D15" s="35"/>
      <c r="E15" s="35"/>
      <c r="F15" s="35"/>
      <c r="G15" s="35"/>
      <c r="I15" s="97"/>
      <c r="J15" s="37"/>
      <c r="K15" s="37"/>
      <c r="L15" s="37"/>
      <c r="M15" s="37"/>
    </row>
    <row r="16" spans="1:18" s="36" customFormat="1" ht="20.100000000000001" customHeight="1">
      <c r="A16" s="36" t="s">
        <v>732</v>
      </c>
      <c r="B16" s="35" t="s">
        <v>38</v>
      </c>
      <c r="C16" s="35"/>
      <c r="D16" s="35"/>
      <c r="E16" s="35"/>
      <c r="F16" s="35"/>
      <c r="G16" s="35"/>
      <c r="I16" s="37"/>
      <c r="J16" s="37"/>
      <c r="K16" s="37"/>
      <c r="L16" s="37"/>
      <c r="M16" s="37"/>
      <c r="N16" s="37"/>
      <c r="O16" s="37"/>
    </row>
    <row r="17" spans="1:13" s="57" customFormat="1" ht="20.100000000000001" customHeight="1">
      <c r="A17" s="36" t="s">
        <v>733</v>
      </c>
      <c r="B17" s="35" t="s">
        <v>39</v>
      </c>
      <c r="C17" s="35"/>
      <c r="D17" s="35"/>
      <c r="E17" s="35"/>
      <c r="F17" s="35"/>
      <c r="G17" s="69"/>
      <c r="H17" s="59"/>
      <c r="I17" s="59"/>
      <c r="J17" s="59"/>
      <c r="K17" s="59"/>
      <c r="L17" s="59"/>
      <c r="M17" s="60"/>
    </row>
    <row r="18" spans="1:13" s="57" customFormat="1" ht="20.100000000000001" customHeight="1">
      <c r="A18" s="36" t="s">
        <v>734</v>
      </c>
      <c r="B18" s="39" t="s">
        <v>40</v>
      </c>
      <c r="C18" s="39"/>
      <c r="D18" s="39"/>
      <c r="E18" s="39"/>
      <c r="F18" s="39"/>
      <c r="G18" s="69"/>
      <c r="H18" s="59"/>
      <c r="I18" s="59"/>
      <c r="J18" s="59"/>
      <c r="K18" s="59"/>
      <c r="L18" s="59"/>
      <c r="M18" s="60"/>
    </row>
    <row r="19" spans="1:13" s="57" customFormat="1" ht="20.100000000000001" customHeight="1">
      <c r="B19" s="26"/>
      <c r="C19" s="58"/>
      <c r="D19" s="58"/>
      <c r="E19" s="58"/>
      <c r="F19" s="58"/>
      <c r="G19" s="69"/>
      <c r="H19" s="59"/>
      <c r="I19" s="59"/>
      <c r="J19" s="59"/>
      <c r="K19" s="59"/>
      <c r="L19" s="59"/>
      <c r="M19" s="60"/>
    </row>
    <row r="20" spans="1:13" ht="20.100000000000001" customHeight="1"/>
  </sheetData>
  <mergeCells count="16">
    <mergeCell ref="B14:L14"/>
    <mergeCell ref="A1:B1"/>
    <mergeCell ref="A2:A3"/>
    <mergeCell ref="B2:B3"/>
    <mergeCell ref="A10:I10"/>
    <mergeCell ref="D2:D3"/>
    <mergeCell ref="C2:C3"/>
    <mergeCell ref="H2:H3"/>
    <mergeCell ref="N2:N3"/>
    <mergeCell ref="L2:L3"/>
    <mergeCell ref="M2:M3"/>
    <mergeCell ref="E2:F2"/>
    <mergeCell ref="G2:G3"/>
    <mergeCell ref="J2:J3"/>
    <mergeCell ref="K2:K3"/>
    <mergeCell ref="I2:I3"/>
  </mergeCells>
  <phoneticPr fontId="3" type="noConversion"/>
  <pageMargins left="0.74803149606299213" right="0.74803149606299213" top="0.97" bottom="0.75" header="0.51181102362204722" footer="0.51181102362204722"/>
  <pageSetup paperSize="9" scale="70" fitToHeight="3" orientation="landscape" r:id="rId1"/>
  <headerFooter alignWithMargins="0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O17"/>
  <sheetViews>
    <sheetView view="pageBreakPreview" zoomScale="85" zoomScaleNormal="115" zoomScaleSheetLayoutView="85" workbookViewId="0">
      <selection activeCell="A2" sqref="A2:A3"/>
    </sheetView>
  </sheetViews>
  <sheetFormatPr defaultRowHeight="12" customHeight="1"/>
  <cols>
    <col min="1" max="1" width="3.77734375" style="10" customWidth="1"/>
    <col min="2" max="2" width="44.109375" style="26" customWidth="1"/>
    <col min="3" max="3" width="37.88671875" style="26" customWidth="1"/>
    <col min="4" max="4" width="15.44140625" style="26" customWidth="1"/>
    <col min="5" max="6" width="10.77734375" style="26" customWidth="1"/>
    <col min="7" max="7" width="7.77734375" style="23" customWidth="1"/>
    <col min="8" max="8" width="10.33203125" style="17" customWidth="1"/>
    <col min="9" max="9" width="4.6640625" style="17" customWidth="1"/>
    <col min="10" max="10" width="7.77734375" style="17" customWidth="1"/>
    <col min="11" max="11" width="10.21875" style="17" bestFit="1" customWidth="1"/>
    <col min="12" max="12" width="7.77734375" style="17" customWidth="1"/>
    <col min="13" max="13" width="7.77734375" style="12" customWidth="1"/>
    <col min="14" max="14" width="7.77734375" style="10" customWidth="1"/>
    <col min="15" max="15" width="1.44140625" style="10" customWidth="1"/>
    <col min="16" max="16384" width="8.88671875" style="10"/>
  </cols>
  <sheetData>
    <row r="1" spans="1:15" s="65" customFormat="1" ht="30" customHeight="1" thickBot="1">
      <c r="A1" s="1057" t="s">
        <v>476</v>
      </c>
      <c r="B1" s="1057"/>
      <c r="C1" s="141" t="str">
        <f>참여업체!C6</f>
        <v>＊＊엔지니어링</v>
      </c>
      <c r="D1" s="62"/>
      <c r="E1" s="62"/>
      <c r="F1" s="62"/>
      <c r="G1" s="63"/>
      <c r="H1" s="64"/>
      <c r="I1" s="64"/>
      <c r="K1" s="64"/>
      <c r="L1" s="64"/>
      <c r="M1" s="66"/>
    </row>
    <row r="2" spans="1:15" s="47" customFormat="1" ht="36.75" customHeight="1">
      <c r="A2" s="992" t="s">
        <v>471</v>
      </c>
      <c r="B2" s="994" t="s">
        <v>472</v>
      </c>
      <c r="C2" s="1005" t="s">
        <v>473</v>
      </c>
      <c r="D2" s="1005" t="s">
        <v>662</v>
      </c>
      <c r="E2" s="1052" t="s">
        <v>477</v>
      </c>
      <c r="F2" s="1053"/>
      <c r="G2" s="1007" t="s">
        <v>478</v>
      </c>
      <c r="H2" s="1061" t="s">
        <v>479</v>
      </c>
      <c r="I2" s="1054" t="s">
        <v>480</v>
      </c>
      <c r="J2" s="1001" t="s">
        <v>481</v>
      </c>
      <c r="K2" s="1001" t="s">
        <v>482</v>
      </c>
      <c r="L2" s="1001" t="s">
        <v>483</v>
      </c>
      <c r="M2" s="1001" t="s">
        <v>484</v>
      </c>
      <c r="N2" s="1011" t="s">
        <v>474</v>
      </c>
    </row>
    <row r="3" spans="1:15" s="47" customFormat="1" ht="34.5" customHeight="1">
      <c r="A3" s="993"/>
      <c r="B3" s="995"/>
      <c r="C3" s="1006"/>
      <c r="D3" s="1006"/>
      <c r="E3" s="783" t="s">
        <v>485</v>
      </c>
      <c r="F3" s="783" t="s">
        <v>475</v>
      </c>
      <c r="G3" s="1008"/>
      <c r="H3" s="1062"/>
      <c r="I3" s="1055"/>
      <c r="J3" s="1002"/>
      <c r="K3" s="1002"/>
      <c r="L3" s="1002"/>
      <c r="M3" s="1002"/>
      <c r="N3" s="1051"/>
    </row>
    <row r="4" spans="1:15" s="48" customFormat="1" ht="39.950000000000003" customHeight="1">
      <c r="A4" s="52">
        <v>1</v>
      </c>
      <c r="B4" s="53" t="s">
        <v>350</v>
      </c>
      <c r="C4" s="53" t="s">
        <v>351</v>
      </c>
      <c r="D4" s="61" t="s">
        <v>352</v>
      </c>
      <c r="E4" s="113">
        <v>38425</v>
      </c>
      <c r="F4" s="113">
        <v>40899</v>
      </c>
      <c r="G4" s="54">
        <v>9891</v>
      </c>
      <c r="H4" s="54">
        <v>1287</v>
      </c>
      <c r="I4" s="61">
        <v>0.3</v>
      </c>
      <c r="J4" s="55">
        <f>IF(G4-H4&lt;230,0,G4-H4)</f>
        <v>8604</v>
      </c>
      <c r="K4" s="55">
        <f>J4*I4</f>
        <v>2581.1999999999998</v>
      </c>
      <c r="L4" s="609">
        <f>(IF(J4&lt;배점기준!$E$75*100,0,IF(J4&lt;배점기준!$F$75*100,배점기준!$E$76,IF(J4&lt;배점기준!$G$75*100,배점기준!$F$76,배점기준!$G$76))))</f>
        <v>1.3</v>
      </c>
      <c r="M4" s="610">
        <f>I4*L4</f>
        <v>0.39</v>
      </c>
      <c r="N4" s="784"/>
    </row>
    <row r="5" spans="1:15" s="50" customFormat="1" ht="39.950000000000003" customHeight="1">
      <c r="A5" s="52">
        <v>2</v>
      </c>
      <c r="B5" s="53" t="s">
        <v>353</v>
      </c>
      <c r="C5" s="53" t="s">
        <v>354</v>
      </c>
      <c r="D5" s="61" t="s">
        <v>355</v>
      </c>
      <c r="E5" s="113">
        <v>38511</v>
      </c>
      <c r="F5" s="113">
        <v>41897</v>
      </c>
      <c r="G5" s="54">
        <v>7515</v>
      </c>
      <c r="H5" s="54">
        <v>1193</v>
      </c>
      <c r="I5" s="61">
        <v>0.3</v>
      </c>
      <c r="J5" s="55">
        <f t="shared" ref="J5:J7" si="0">IF(G5-H5&lt;230,0,G5-H5)</f>
        <v>6322</v>
      </c>
      <c r="K5" s="55">
        <f t="shared" ref="K5:K7" si="1">J5*I5</f>
        <v>1896.6</v>
      </c>
      <c r="L5" s="609">
        <f>(IF(J5&lt;배점기준!$E$75*100,0,IF(J5&lt;배점기준!$F$75*100,배점기준!$E$76,IF(J5&lt;배점기준!$G$75*100,배점기준!$F$76,배점기준!$G$76))))</f>
        <v>1.3</v>
      </c>
      <c r="M5" s="610">
        <f t="shared" ref="M5:M7" si="2">I5*L5</f>
        <v>0.39</v>
      </c>
      <c r="N5" s="784"/>
    </row>
    <row r="6" spans="1:15" s="50" customFormat="1" ht="39.950000000000003" customHeight="1">
      <c r="A6" s="52">
        <v>3</v>
      </c>
      <c r="B6" s="53" t="s">
        <v>356</v>
      </c>
      <c r="C6" s="53" t="s">
        <v>357</v>
      </c>
      <c r="D6" s="61" t="s">
        <v>358</v>
      </c>
      <c r="E6" s="113">
        <v>38551</v>
      </c>
      <c r="F6" s="113">
        <v>40543</v>
      </c>
      <c r="G6" s="54">
        <v>10961</v>
      </c>
      <c r="H6" s="54">
        <v>2848</v>
      </c>
      <c r="I6" s="61">
        <v>0.3</v>
      </c>
      <c r="J6" s="55">
        <f t="shared" si="0"/>
        <v>8113</v>
      </c>
      <c r="K6" s="55">
        <f t="shared" si="1"/>
        <v>2433.9</v>
      </c>
      <c r="L6" s="609">
        <f>(IF(J6&lt;배점기준!$E$75*100,0,IF(J6&lt;배점기준!$F$75*100,배점기준!$E$76,IF(J6&lt;배점기준!$G$75*100,배점기준!$F$76,배점기준!$G$76))))</f>
        <v>1.3</v>
      </c>
      <c r="M6" s="610">
        <f t="shared" si="2"/>
        <v>0.39</v>
      </c>
      <c r="N6" s="784"/>
    </row>
    <row r="7" spans="1:15" s="50" customFormat="1" ht="39.950000000000003" customHeight="1" thickBot="1">
      <c r="A7" s="794">
        <v>4</v>
      </c>
      <c r="B7" s="795" t="s">
        <v>359</v>
      </c>
      <c r="C7" s="795" t="s">
        <v>360</v>
      </c>
      <c r="D7" s="796" t="s">
        <v>384</v>
      </c>
      <c r="E7" s="797">
        <v>38975</v>
      </c>
      <c r="F7" s="797">
        <v>40543</v>
      </c>
      <c r="G7" s="798">
        <v>1627</v>
      </c>
      <c r="H7" s="798">
        <v>366</v>
      </c>
      <c r="I7" s="796">
        <v>0.4</v>
      </c>
      <c r="J7" s="799">
        <f t="shared" si="0"/>
        <v>1261</v>
      </c>
      <c r="K7" s="799">
        <f t="shared" si="1"/>
        <v>504.40000000000003</v>
      </c>
      <c r="L7" s="800">
        <f>(IF(J7&lt;배점기준!$E$75*100,0,IF(J7&lt;배점기준!$F$75*100,배점기준!$E$76,IF(J7&lt;배점기준!$G$75*100,배점기준!$F$76,배점기준!$G$76))))</f>
        <v>0.7</v>
      </c>
      <c r="M7" s="801">
        <f t="shared" si="2"/>
        <v>0.27999999999999997</v>
      </c>
      <c r="N7" s="185"/>
    </row>
    <row r="8" spans="1:15" s="48" customFormat="1" ht="35.1" customHeight="1" thickBot="1">
      <c r="A8" s="1058" t="s">
        <v>486</v>
      </c>
      <c r="B8" s="1059"/>
      <c r="C8" s="1059"/>
      <c r="D8" s="1059"/>
      <c r="E8" s="1059"/>
      <c r="F8" s="1059"/>
      <c r="G8" s="1059"/>
      <c r="H8" s="1059"/>
      <c r="I8" s="1060"/>
      <c r="J8" s="122"/>
      <c r="K8" s="123">
        <f>SUM(K4:K7)</f>
        <v>7416.0999999999985</v>
      </c>
      <c r="L8" s="802"/>
      <c r="M8" s="613">
        <f>SUM(M4:M7)</f>
        <v>1.45</v>
      </c>
      <c r="N8" s="124"/>
    </row>
    <row r="9" spans="1:15" ht="20.100000000000001" customHeight="1">
      <c r="A9" s="31"/>
      <c r="B9" s="40"/>
      <c r="C9" s="40"/>
      <c r="D9" s="40"/>
      <c r="E9" s="40"/>
      <c r="F9" s="40"/>
      <c r="G9" s="41"/>
      <c r="H9" s="32"/>
      <c r="I9" s="32"/>
      <c r="J9" s="42"/>
      <c r="K9" s="42"/>
      <c r="L9" s="43"/>
      <c r="M9" s="44"/>
    </row>
    <row r="10" spans="1:15" s="57" customFormat="1" ht="20.100000000000001" customHeight="1">
      <c r="A10" s="36" t="s">
        <v>666</v>
      </c>
      <c r="B10" s="35" t="s">
        <v>737</v>
      </c>
      <c r="C10" s="35"/>
      <c r="D10" s="35"/>
      <c r="E10" s="35"/>
      <c r="F10" s="35"/>
      <c r="G10" s="67"/>
      <c r="H10" s="58"/>
      <c r="I10" s="58"/>
      <c r="J10" s="58"/>
      <c r="K10" s="58"/>
      <c r="L10" s="68"/>
      <c r="M10" s="60"/>
    </row>
    <row r="11" spans="1:15" s="57" customFormat="1" ht="20.100000000000001" customHeight="1">
      <c r="A11" s="36" t="s">
        <v>700</v>
      </c>
      <c r="B11" s="35" t="s">
        <v>37</v>
      </c>
      <c r="C11" s="181"/>
      <c r="D11" s="181"/>
      <c r="E11" s="181"/>
      <c r="F11" s="181"/>
      <c r="G11" s="69"/>
      <c r="H11" s="59"/>
      <c r="I11" s="59"/>
      <c r="J11" s="59"/>
      <c r="K11" s="149"/>
      <c r="L11" s="59"/>
      <c r="M11" s="60"/>
    </row>
    <row r="12" spans="1:15" s="36" customFormat="1" ht="45" customHeight="1">
      <c r="A12" s="73" t="s">
        <v>730</v>
      </c>
      <c r="B12" s="1056" t="s">
        <v>736</v>
      </c>
      <c r="C12" s="1056"/>
      <c r="D12" s="1056"/>
      <c r="E12" s="1056"/>
      <c r="F12" s="1056"/>
      <c r="G12" s="1056"/>
      <c r="H12" s="1056"/>
      <c r="I12" s="1056"/>
      <c r="J12" s="1056"/>
      <c r="K12" s="1056"/>
      <c r="L12" s="1056"/>
      <c r="M12" s="37"/>
      <c r="N12" s="37"/>
      <c r="O12" s="37"/>
    </row>
    <row r="13" spans="1:15" s="57" customFormat="1" ht="20.100000000000001" customHeight="1">
      <c r="A13" s="73" t="s">
        <v>731</v>
      </c>
      <c r="B13" s="35" t="s">
        <v>735</v>
      </c>
      <c r="C13" s="35"/>
      <c r="D13" s="35"/>
      <c r="E13" s="35"/>
      <c r="F13" s="35"/>
      <c r="G13" s="35"/>
      <c r="H13" s="36"/>
      <c r="I13" s="97"/>
      <c r="J13" s="37"/>
      <c r="K13" s="37"/>
      <c r="L13" s="37"/>
      <c r="M13" s="60"/>
    </row>
    <row r="14" spans="1:15" s="57" customFormat="1" ht="20.100000000000001" customHeight="1">
      <c r="A14" s="36" t="s">
        <v>732</v>
      </c>
      <c r="B14" s="35" t="s">
        <v>38</v>
      </c>
      <c r="C14" s="35"/>
      <c r="D14" s="35"/>
      <c r="E14" s="35"/>
      <c r="F14" s="35"/>
      <c r="G14" s="35"/>
      <c r="H14" s="36"/>
      <c r="I14" s="37"/>
      <c r="J14" s="37"/>
      <c r="K14" s="37"/>
      <c r="L14" s="37"/>
      <c r="M14" s="60"/>
    </row>
    <row r="15" spans="1:15" s="57" customFormat="1" ht="20.100000000000001" customHeight="1">
      <c r="A15" s="36" t="s">
        <v>733</v>
      </c>
      <c r="B15" s="35" t="s">
        <v>39</v>
      </c>
      <c r="C15" s="35"/>
      <c r="D15" s="35"/>
      <c r="E15" s="35"/>
      <c r="F15" s="35"/>
      <c r="G15" s="69"/>
      <c r="H15" s="59"/>
      <c r="I15" s="59"/>
      <c r="J15" s="59"/>
      <c r="K15" s="59"/>
      <c r="L15" s="59"/>
      <c r="M15" s="60"/>
    </row>
    <row r="16" spans="1:15" ht="20.100000000000001" customHeight="1">
      <c r="A16" s="36" t="s">
        <v>734</v>
      </c>
      <c r="B16" s="39" t="s">
        <v>40</v>
      </c>
      <c r="C16" s="39"/>
      <c r="D16" s="39"/>
      <c r="E16" s="39"/>
      <c r="F16" s="39"/>
      <c r="G16" s="69"/>
      <c r="H16" s="59"/>
      <c r="I16" s="59"/>
      <c r="J16" s="59"/>
      <c r="K16" s="59"/>
      <c r="L16" s="59"/>
    </row>
    <row r="17" ht="20.100000000000001" customHeight="1"/>
  </sheetData>
  <mergeCells count="16">
    <mergeCell ref="A1:B1"/>
    <mergeCell ref="A2:A3"/>
    <mergeCell ref="B2:B3"/>
    <mergeCell ref="C2:C3"/>
    <mergeCell ref="M2:M3"/>
    <mergeCell ref="B12:L12"/>
    <mergeCell ref="N2:N3"/>
    <mergeCell ref="A8:I8"/>
    <mergeCell ref="G2:G3"/>
    <mergeCell ref="H2:H3"/>
    <mergeCell ref="I2:I3"/>
    <mergeCell ref="J2:J3"/>
    <mergeCell ref="K2:K3"/>
    <mergeCell ref="L2:L3"/>
    <mergeCell ref="E2:F2"/>
    <mergeCell ref="D2:D3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59" fitToHeight="3" orientation="landscape" r:id="rId1"/>
  <headerFooter alignWithMargins="0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20"/>
  <sheetViews>
    <sheetView view="pageBreakPreview" zoomScaleNormal="115" zoomScaleSheetLayoutView="100" workbookViewId="0">
      <selection activeCell="A2" sqref="A2:A3"/>
    </sheetView>
  </sheetViews>
  <sheetFormatPr defaultRowHeight="12" customHeight="1"/>
  <cols>
    <col min="1" max="1" width="5" style="10" customWidth="1"/>
    <col min="2" max="2" width="26.6640625" style="26" customWidth="1"/>
    <col min="3" max="3" width="24.21875" style="26" customWidth="1"/>
    <col min="4" max="4" width="15.33203125" style="26" customWidth="1"/>
    <col min="5" max="6" width="10.77734375" style="26" customWidth="1"/>
    <col min="7" max="7" width="8.6640625" style="23" customWidth="1"/>
    <col min="8" max="8" width="11.33203125" style="17" customWidth="1"/>
    <col min="9" max="9" width="7.33203125" style="17" customWidth="1"/>
    <col min="10" max="11" width="8.6640625" style="17" customWidth="1"/>
    <col min="12" max="12" width="7.77734375" style="17" customWidth="1"/>
    <col min="13" max="13" width="7.77734375" style="12" customWidth="1"/>
    <col min="14" max="14" width="7.77734375" style="10" customWidth="1"/>
    <col min="15" max="15" width="1.44140625" style="10" customWidth="1"/>
    <col min="16" max="16" width="0" style="10" hidden="1" customWidth="1"/>
    <col min="17" max="16384" width="8.88671875" style="10"/>
  </cols>
  <sheetData>
    <row r="1" spans="1:18" s="65" customFormat="1" ht="30" customHeight="1" thickBot="1">
      <c r="A1" s="1057" t="s">
        <v>524</v>
      </c>
      <c r="B1" s="1057"/>
      <c r="C1" s="141" t="str">
        <f>참여업체!D6</f>
        <v>☆☆엔지니어링</v>
      </c>
      <c r="D1" s="62"/>
      <c r="E1" s="62"/>
      <c r="F1" s="62"/>
      <c r="G1" s="63"/>
      <c r="H1" s="64"/>
      <c r="I1" s="64"/>
      <c r="K1" s="64"/>
      <c r="L1" s="64"/>
      <c r="M1" s="66"/>
    </row>
    <row r="2" spans="1:18" s="47" customFormat="1" ht="28.5" customHeight="1">
      <c r="A2" s="992" t="s">
        <v>15</v>
      </c>
      <c r="B2" s="994" t="s">
        <v>31</v>
      </c>
      <c r="C2" s="1005" t="s">
        <v>32</v>
      </c>
      <c r="D2" s="1005" t="s">
        <v>662</v>
      </c>
      <c r="E2" s="1052" t="s">
        <v>18</v>
      </c>
      <c r="F2" s="1053"/>
      <c r="G2" s="1007" t="s">
        <v>230</v>
      </c>
      <c r="H2" s="1061" t="s">
        <v>36</v>
      </c>
      <c r="I2" s="1054" t="s">
        <v>453</v>
      </c>
      <c r="J2" s="1001" t="s">
        <v>51</v>
      </c>
      <c r="K2" s="1001" t="s">
        <v>41</v>
      </c>
      <c r="L2" s="1001" t="s">
        <v>451</v>
      </c>
      <c r="M2" s="1001" t="s">
        <v>452</v>
      </c>
      <c r="N2" s="1011" t="s">
        <v>176</v>
      </c>
    </row>
    <row r="3" spans="1:18" s="47" customFormat="1" ht="30.75" customHeight="1">
      <c r="A3" s="993"/>
      <c r="B3" s="995"/>
      <c r="C3" s="1006"/>
      <c r="D3" s="1006"/>
      <c r="E3" s="783" t="s">
        <v>34</v>
      </c>
      <c r="F3" s="783" t="s">
        <v>35</v>
      </c>
      <c r="G3" s="1008"/>
      <c r="H3" s="1062"/>
      <c r="I3" s="1055"/>
      <c r="J3" s="1002"/>
      <c r="K3" s="1002"/>
      <c r="L3" s="1002"/>
      <c r="M3" s="1002"/>
      <c r="N3" s="1051"/>
      <c r="P3" s="47" t="s">
        <v>413</v>
      </c>
    </row>
    <row r="4" spans="1:18" s="48" customFormat="1" ht="30" customHeight="1">
      <c r="A4" s="52">
        <v>1</v>
      </c>
      <c r="B4" s="115" t="s">
        <v>332</v>
      </c>
      <c r="C4" s="112" t="s">
        <v>521</v>
      </c>
      <c r="D4" s="116" t="s">
        <v>330</v>
      </c>
      <c r="E4" s="117">
        <v>39805</v>
      </c>
      <c r="F4" s="117">
        <v>40392</v>
      </c>
      <c r="G4" s="54">
        <v>593</v>
      </c>
      <c r="H4" s="118">
        <v>0</v>
      </c>
      <c r="I4" s="119">
        <v>0.7</v>
      </c>
      <c r="J4" s="55">
        <f t="shared" ref="J4:J9" si="0">IF(G4-H4&lt;230,0,G4-H4)</f>
        <v>593</v>
      </c>
      <c r="K4" s="55">
        <f t="shared" ref="K4:K9" si="1">J4*I4</f>
        <v>415.09999999999997</v>
      </c>
      <c r="L4" s="609">
        <f>(IF(J4&lt;배점기준!$E$75*100,0,IF(J4&lt;배점기준!$F$75*100,배점기준!$E$76,IF(J4&lt;배점기준!$G$75*100,배점기준!$F$76,배점기준!$G$76))))</f>
        <v>0.7</v>
      </c>
      <c r="M4" s="610">
        <f t="shared" ref="M4:M9" si="2">I4*L4</f>
        <v>0.48999999999999994</v>
      </c>
      <c r="N4" s="151"/>
      <c r="P4" s="611"/>
      <c r="Q4" s="611"/>
    </row>
    <row r="5" spans="1:18" s="50" customFormat="1" ht="30" customHeight="1">
      <c r="A5" s="52">
        <v>2</v>
      </c>
      <c r="B5" s="115" t="s">
        <v>372</v>
      </c>
      <c r="C5" s="112" t="s">
        <v>521</v>
      </c>
      <c r="D5" s="116" t="s">
        <v>450</v>
      </c>
      <c r="E5" s="117">
        <v>39734</v>
      </c>
      <c r="F5" s="117">
        <v>40421</v>
      </c>
      <c r="G5" s="54">
        <v>4668</v>
      </c>
      <c r="H5" s="118">
        <v>343</v>
      </c>
      <c r="I5" s="119">
        <v>0.28999999999999998</v>
      </c>
      <c r="J5" s="55">
        <f t="shared" si="0"/>
        <v>4325</v>
      </c>
      <c r="K5" s="55">
        <f t="shared" si="1"/>
        <v>1254.25</v>
      </c>
      <c r="L5" s="609">
        <f>(IF(J5&lt;배점기준!$E$75*100,0,IF(J5&lt;배점기준!$F$75*100,배점기준!$E$76,IF(J5&lt;배점기준!$G$75*100,배점기준!$F$76,배점기준!$G$76))))</f>
        <v>1.3</v>
      </c>
      <c r="M5" s="610">
        <f t="shared" si="2"/>
        <v>0.377</v>
      </c>
      <c r="N5" s="152"/>
      <c r="P5" s="611"/>
      <c r="Q5" s="611"/>
    </row>
    <row r="6" spans="1:18" s="50" customFormat="1" ht="30" customHeight="1">
      <c r="A6" s="52">
        <v>3</v>
      </c>
      <c r="B6" s="115" t="s">
        <v>373</v>
      </c>
      <c r="C6" s="112" t="s">
        <v>368</v>
      </c>
      <c r="D6" s="116" t="s">
        <v>450</v>
      </c>
      <c r="E6" s="117">
        <v>39987</v>
      </c>
      <c r="F6" s="117">
        <v>40532</v>
      </c>
      <c r="G6" s="54">
        <v>927</v>
      </c>
      <c r="H6" s="118">
        <v>0</v>
      </c>
      <c r="I6" s="119">
        <v>0.76</v>
      </c>
      <c r="J6" s="55">
        <f t="shared" si="0"/>
        <v>927</v>
      </c>
      <c r="K6" s="55">
        <f t="shared" si="1"/>
        <v>704.52</v>
      </c>
      <c r="L6" s="609">
        <f>(IF(J6&lt;배점기준!$E$75*100,0,IF(J6&lt;배점기준!$F$75*100,배점기준!$E$76,IF(J6&lt;배점기준!$G$75*100,배점기준!$F$76,배점기준!$G$76))))</f>
        <v>0.7</v>
      </c>
      <c r="M6" s="610">
        <f t="shared" si="2"/>
        <v>0.53199999999999992</v>
      </c>
      <c r="N6" s="152"/>
      <c r="P6" s="611"/>
      <c r="Q6" s="611"/>
    </row>
    <row r="7" spans="1:18" s="50" customFormat="1" ht="30" customHeight="1">
      <c r="A7" s="52">
        <v>4</v>
      </c>
      <c r="B7" s="115" t="s">
        <v>333</v>
      </c>
      <c r="C7" s="112" t="s">
        <v>522</v>
      </c>
      <c r="D7" s="116" t="s">
        <v>334</v>
      </c>
      <c r="E7" s="117">
        <v>40295</v>
      </c>
      <c r="F7" s="117">
        <v>40532</v>
      </c>
      <c r="G7" s="54">
        <v>349</v>
      </c>
      <c r="H7" s="118">
        <v>0</v>
      </c>
      <c r="I7" s="119">
        <v>0.7</v>
      </c>
      <c r="J7" s="55">
        <f t="shared" si="0"/>
        <v>349</v>
      </c>
      <c r="K7" s="55">
        <f t="shared" si="1"/>
        <v>244.29999999999998</v>
      </c>
      <c r="L7" s="609">
        <f>(IF(J7&lt;배점기준!$E$75*100,0,IF(J7&lt;배점기준!$F$75*100,배점기준!$E$76,IF(J7&lt;배점기준!$G$75*100,배점기준!$F$76,배점기준!$G$76))))</f>
        <v>0.7</v>
      </c>
      <c r="M7" s="610">
        <f t="shared" si="2"/>
        <v>0.48999999999999994</v>
      </c>
      <c r="N7" s="152"/>
      <c r="P7" s="611"/>
      <c r="Q7" s="611"/>
    </row>
    <row r="8" spans="1:18" s="50" customFormat="1" ht="42" customHeight="1">
      <c r="A8" s="52">
        <v>5</v>
      </c>
      <c r="B8" s="115" t="s">
        <v>374</v>
      </c>
      <c r="C8" s="112" t="s">
        <v>366</v>
      </c>
      <c r="D8" s="116" t="s">
        <v>367</v>
      </c>
      <c r="E8" s="117">
        <v>39680</v>
      </c>
      <c r="F8" s="117">
        <v>40542</v>
      </c>
      <c r="G8" s="54">
        <v>259</v>
      </c>
      <c r="H8" s="118">
        <v>0</v>
      </c>
      <c r="I8" s="119">
        <v>1</v>
      </c>
      <c r="J8" s="55">
        <f t="shared" si="0"/>
        <v>259</v>
      </c>
      <c r="K8" s="55">
        <f t="shared" si="1"/>
        <v>259</v>
      </c>
      <c r="L8" s="609">
        <f>(IF(J8&lt;배점기준!$E$75*100,0,IF(J8&lt;배점기준!$F$75*100,배점기준!$E$76,IF(J8&lt;배점기준!$G$75*100,배점기준!$F$76,배점기준!$G$76))))</f>
        <v>0.7</v>
      </c>
      <c r="M8" s="610">
        <f t="shared" si="2"/>
        <v>0.7</v>
      </c>
      <c r="N8" s="152"/>
      <c r="P8" s="611"/>
      <c r="Q8" s="611"/>
    </row>
    <row r="9" spans="1:18" s="50" customFormat="1" ht="30" customHeight="1" thickBot="1">
      <c r="A9" s="794">
        <v>6</v>
      </c>
      <c r="B9" s="813" t="s">
        <v>375</v>
      </c>
      <c r="C9" s="814" t="s">
        <v>521</v>
      </c>
      <c r="D9" s="815" t="s">
        <v>331</v>
      </c>
      <c r="E9" s="816">
        <v>38114</v>
      </c>
      <c r="F9" s="816">
        <v>40543</v>
      </c>
      <c r="G9" s="798">
        <v>2168</v>
      </c>
      <c r="H9" s="817">
        <f>47+23+256+138+51+45+88+19+28+124+266</f>
        <v>1085</v>
      </c>
      <c r="I9" s="818">
        <v>0.3</v>
      </c>
      <c r="J9" s="799">
        <f t="shared" si="0"/>
        <v>1083</v>
      </c>
      <c r="K9" s="799">
        <f t="shared" si="1"/>
        <v>324.89999999999998</v>
      </c>
      <c r="L9" s="800">
        <f>(IF(J9&lt;배점기준!$E$75*100,0,IF(J9&lt;배점기준!$F$75*100,배점기준!$E$76,IF(J9&lt;배점기준!$G$75*100,배점기준!$F$76,배점기준!$G$76))))</f>
        <v>0.7</v>
      </c>
      <c r="M9" s="801">
        <f t="shared" si="2"/>
        <v>0.21</v>
      </c>
      <c r="N9" s="819"/>
      <c r="P9" s="611"/>
      <c r="Q9" s="611"/>
    </row>
    <row r="10" spans="1:18" s="48" customFormat="1" ht="35.1" customHeight="1" thickBot="1">
      <c r="A10" s="1058" t="s">
        <v>42</v>
      </c>
      <c r="B10" s="1059"/>
      <c r="C10" s="1059"/>
      <c r="D10" s="1059"/>
      <c r="E10" s="1059"/>
      <c r="F10" s="1059"/>
      <c r="G10" s="1059"/>
      <c r="H10" s="1059"/>
      <c r="I10" s="1060"/>
      <c r="J10" s="122"/>
      <c r="K10" s="755">
        <f>SUM(K4:K9)</f>
        <v>3202.07</v>
      </c>
      <c r="L10" s="612"/>
      <c r="M10" s="756">
        <f>SUM(M4:M9)</f>
        <v>2.7989999999999999</v>
      </c>
      <c r="N10" s="124"/>
    </row>
    <row r="11" spans="1:18" ht="20.100000000000001" customHeight="1">
      <c r="A11" s="31"/>
      <c r="B11" s="40"/>
      <c r="C11" s="40"/>
      <c r="D11" s="40"/>
      <c r="E11" s="40"/>
      <c r="F11" s="40"/>
      <c r="G11" s="41"/>
      <c r="H11" s="32"/>
      <c r="I11" s="32"/>
      <c r="J11" s="42"/>
      <c r="K11" s="42"/>
      <c r="L11" s="43"/>
      <c r="M11" s="44"/>
    </row>
    <row r="12" spans="1:18" s="57" customFormat="1" ht="20.100000000000001" customHeight="1">
      <c r="A12" s="36" t="s">
        <v>666</v>
      </c>
      <c r="B12" s="35" t="s">
        <v>737</v>
      </c>
      <c r="C12" s="35"/>
      <c r="D12" s="35"/>
      <c r="E12" s="35"/>
      <c r="F12" s="35"/>
      <c r="G12" s="67"/>
      <c r="H12" s="58"/>
      <c r="I12" s="58"/>
      <c r="J12" s="58"/>
      <c r="K12" s="58"/>
      <c r="L12" s="68"/>
      <c r="M12" s="60"/>
      <c r="N12" s="60"/>
      <c r="P12" s="36"/>
      <c r="Q12" s="36"/>
    </row>
    <row r="13" spans="1:18" s="57" customFormat="1" ht="20.100000000000001" customHeight="1">
      <c r="A13" s="36" t="s">
        <v>700</v>
      </c>
      <c r="B13" s="35" t="s">
        <v>37</v>
      </c>
      <c r="C13" s="181"/>
      <c r="D13" s="181"/>
      <c r="E13" s="181"/>
      <c r="F13" s="181"/>
      <c r="G13" s="69"/>
      <c r="H13" s="59"/>
      <c r="I13" s="59"/>
      <c r="J13" s="59"/>
      <c r="K13" s="149"/>
      <c r="L13" s="59"/>
      <c r="M13" s="60"/>
      <c r="R13" s="36"/>
    </row>
    <row r="14" spans="1:18" s="36" customFormat="1" ht="45" customHeight="1">
      <c r="A14" s="73" t="s">
        <v>730</v>
      </c>
      <c r="B14" s="1056" t="s">
        <v>736</v>
      </c>
      <c r="C14" s="1056"/>
      <c r="D14" s="1056"/>
      <c r="E14" s="1056"/>
      <c r="F14" s="1056"/>
      <c r="G14" s="1056"/>
      <c r="H14" s="1056"/>
      <c r="I14" s="1056"/>
      <c r="J14" s="1056"/>
      <c r="K14" s="1056"/>
      <c r="L14" s="1056"/>
      <c r="M14" s="37"/>
    </row>
    <row r="15" spans="1:18" s="36" customFormat="1" ht="20.100000000000001" customHeight="1">
      <c r="A15" s="73" t="s">
        <v>731</v>
      </c>
      <c r="B15" s="35" t="s">
        <v>735</v>
      </c>
      <c r="C15" s="35"/>
      <c r="D15" s="35"/>
      <c r="E15" s="35"/>
      <c r="F15" s="35"/>
      <c r="G15" s="35"/>
      <c r="I15" s="97"/>
      <c r="J15" s="37"/>
      <c r="K15" s="37"/>
      <c r="L15" s="37"/>
      <c r="M15" s="37"/>
    </row>
    <row r="16" spans="1:18" s="36" customFormat="1" ht="20.100000000000001" customHeight="1">
      <c r="A16" s="36" t="s">
        <v>732</v>
      </c>
      <c r="B16" s="35" t="s">
        <v>38</v>
      </c>
      <c r="C16" s="35"/>
      <c r="D16" s="35"/>
      <c r="E16" s="35"/>
      <c r="F16" s="35"/>
      <c r="G16" s="35"/>
      <c r="I16" s="37"/>
      <c r="J16" s="37"/>
      <c r="K16" s="37"/>
      <c r="L16" s="37"/>
      <c r="M16" s="37"/>
      <c r="N16" s="37"/>
      <c r="O16" s="37"/>
    </row>
    <row r="17" spans="1:13" s="57" customFormat="1" ht="20.100000000000001" customHeight="1">
      <c r="A17" s="36" t="s">
        <v>733</v>
      </c>
      <c r="B17" s="35" t="s">
        <v>39</v>
      </c>
      <c r="C17" s="35"/>
      <c r="D17" s="35"/>
      <c r="E17" s="35"/>
      <c r="F17" s="35"/>
      <c r="G17" s="69"/>
      <c r="H17" s="59"/>
      <c r="I17" s="59"/>
      <c r="J17" s="59"/>
      <c r="K17" s="59"/>
      <c r="L17" s="59"/>
      <c r="M17" s="60"/>
    </row>
    <row r="18" spans="1:13" s="57" customFormat="1" ht="20.100000000000001" customHeight="1">
      <c r="A18" s="36" t="s">
        <v>734</v>
      </c>
      <c r="B18" s="39" t="s">
        <v>40</v>
      </c>
      <c r="C18" s="39"/>
      <c r="D18" s="39"/>
      <c r="E18" s="39"/>
      <c r="F18" s="39"/>
      <c r="G18" s="69"/>
      <c r="H18" s="59"/>
      <c r="I18" s="59"/>
      <c r="J18" s="59"/>
      <c r="K18" s="59"/>
      <c r="L18" s="59"/>
      <c r="M18" s="60"/>
    </row>
    <row r="19" spans="1:13" s="57" customFormat="1" ht="20.100000000000001" customHeight="1">
      <c r="B19" s="26"/>
      <c r="C19" s="58"/>
      <c r="D19" s="58"/>
      <c r="E19" s="58"/>
      <c r="F19" s="58"/>
      <c r="G19" s="69"/>
      <c r="H19" s="59"/>
      <c r="I19" s="59"/>
      <c r="J19" s="59"/>
      <c r="K19" s="59"/>
      <c r="L19" s="59"/>
      <c r="M19" s="60"/>
    </row>
    <row r="20" spans="1:13" ht="15" customHeight="1"/>
  </sheetData>
  <mergeCells count="16">
    <mergeCell ref="B14:L14"/>
    <mergeCell ref="A10:I10"/>
    <mergeCell ref="L2:L3"/>
    <mergeCell ref="G2:G3"/>
    <mergeCell ref="H2:H3"/>
    <mergeCell ref="I2:I3"/>
    <mergeCell ref="J2:J3"/>
    <mergeCell ref="K2:K3"/>
    <mergeCell ref="E2:F2"/>
    <mergeCell ref="D2:D3"/>
    <mergeCell ref="N2:N3"/>
    <mergeCell ref="A1:B1"/>
    <mergeCell ref="A2:A3"/>
    <mergeCell ref="B2:B3"/>
    <mergeCell ref="C2:C3"/>
    <mergeCell ref="M2:M3"/>
  </mergeCells>
  <phoneticPr fontId="2" type="noConversion"/>
  <pageMargins left="0.74803149606299213" right="0.74803149606299213" top="0.97" bottom="0.75" header="0.51181102362204722" footer="0.51181102362204722"/>
  <pageSetup paperSize="9" scale="70" fitToHeight="3" orientation="landscape" r:id="rId1"/>
  <headerFooter alignWithMargins="0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2"/>
  </sheetPr>
  <dimension ref="A1:X23"/>
  <sheetViews>
    <sheetView view="pageBreakPreview" zoomScale="85" zoomScaleNormal="55" zoomScaleSheetLayoutView="70" workbookViewId="0">
      <selection activeCell="J9" sqref="J9"/>
    </sheetView>
  </sheetViews>
  <sheetFormatPr defaultRowHeight="15.95" customHeight="1"/>
  <cols>
    <col min="1" max="1" width="1.88671875" style="207" customWidth="1"/>
    <col min="2" max="5" width="26.6640625" style="207" customWidth="1"/>
    <col min="6" max="9" width="5.6640625" style="207" bestFit="1" customWidth="1"/>
    <col min="10" max="10" width="6.5546875" style="207" customWidth="1"/>
    <col min="11" max="11" width="6.44140625" style="207" customWidth="1"/>
    <col min="12" max="16" width="5.6640625" style="207" bestFit="1" customWidth="1"/>
    <col min="17" max="17" width="5.77734375" style="207" customWidth="1"/>
    <col min="18" max="18" width="5.6640625" style="207" bestFit="1" customWidth="1"/>
    <col min="19" max="19" width="5.5546875" style="207" customWidth="1"/>
    <col min="20" max="21" width="7.88671875" style="207" customWidth="1"/>
    <col min="22" max="22" width="9.109375" style="207" customWidth="1"/>
    <col min="23" max="23" width="8.33203125" style="207" customWidth="1"/>
    <col min="24" max="24" width="7.88671875" style="374" customWidth="1"/>
    <col min="25" max="25" width="6.33203125" style="207" bestFit="1" customWidth="1"/>
    <col min="26" max="26" width="8.77734375" style="207" customWidth="1"/>
    <col min="27" max="27" width="6.33203125" style="207" bestFit="1" customWidth="1"/>
    <col min="28" max="28" width="8.5546875" style="207" customWidth="1"/>
    <col min="29" max="29" width="7.5546875" style="207" bestFit="1" customWidth="1"/>
    <col min="30" max="30" width="6" style="207" customWidth="1"/>
    <col min="31" max="31" width="9.44140625" style="207" customWidth="1"/>
    <col min="32" max="32" width="4" style="207" customWidth="1"/>
    <col min="33" max="33" width="7.77734375" style="207" customWidth="1"/>
    <col min="34" max="16384" width="8.88671875" style="207"/>
  </cols>
  <sheetData>
    <row r="1" spans="1:24" s="365" customFormat="1" ht="39.950000000000003" customHeight="1">
      <c r="A1" s="364"/>
      <c r="B1" s="364" t="s">
        <v>209</v>
      </c>
      <c r="X1" s="366"/>
    </row>
    <row r="2" spans="1:24" s="218" customFormat="1" ht="39.950000000000003" customHeight="1">
      <c r="A2" s="363"/>
      <c r="X2" s="367"/>
    </row>
    <row r="3" spans="1:24" s="218" customFormat="1" ht="39.950000000000003" customHeight="1">
      <c r="A3" s="363"/>
      <c r="B3" s="604" t="s">
        <v>205</v>
      </c>
      <c r="C3" s="1025" t="s">
        <v>410</v>
      </c>
      <c r="D3" s="1025"/>
      <c r="E3" s="1025"/>
      <c r="X3" s="367"/>
    </row>
    <row r="4" spans="1:24" s="218" customFormat="1" ht="39.950000000000003" customHeight="1">
      <c r="A4" s="363"/>
      <c r="B4" s="604" t="s">
        <v>206</v>
      </c>
      <c r="C4" s="1025"/>
      <c r="D4" s="1025"/>
      <c r="E4" s="1025"/>
      <c r="X4" s="367"/>
    </row>
    <row r="5" spans="1:24" s="218" customFormat="1" ht="39.950000000000003" customHeight="1">
      <c r="A5" s="363"/>
      <c r="B5" s="1026" t="s">
        <v>301</v>
      </c>
      <c r="C5" s="1026"/>
      <c r="D5" s="1026"/>
      <c r="E5" s="1026"/>
      <c r="X5" s="367"/>
    </row>
    <row r="6" spans="1:24" s="218" customFormat="1" ht="39.950000000000003" customHeight="1">
      <c r="A6" s="363"/>
      <c r="B6" s="604" t="s">
        <v>703</v>
      </c>
      <c r="C6" s="605"/>
      <c r="D6" s="604" t="s">
        <v>303</v>
      </c>
      <c r="E6" s="605"/>
      <c r="X6" s="367"/>
    </row>
    <row r="7" spans="1:24" s="218" customFormat="1" ht="39.950000000000003" customHeight="1">
      <c r="A7" s="363"/>
      <c r="B7" s="604" t="s">
        <v>306</v>
      </c>
      <c r="C7" s="1063"/>
      <c r="D7" s="1064"/>
      <c r="E7" s="1065"/>
      <c r="X7" s="367"/>
    </row>
    <row r="8" spans="1:24" s="218" customFormat="1" ht="39.950000000000003" customHeight="1">
      <c r="A8" s="363"/>
      <c r="B8" s="1026" t="s">
        <v>302</v>
      </c>
      <c r="C8" s="1026"/>
      <c r="D8" s="1026"/>
      <c r="E8" s="1026"/>
      <c r="X8" s="367"/>
    </row>
    <row r="9" spans="1:24" s="218" customFormat="1" ht="39.950000000000003" customHeight="1">
      <c r="A9" s="363"/>
      <c r="B9" s="604" t="s">
        <v>304</v>
      </c>
      <c r="C9" s="606"/>
      <c r="D9" s="606"/>
      <c r="E9" s="606"/>
      <c r="X9" s="367"/>
    </row>
    <row r="10" spans="1:24" s="218" customFormat="1" ht="39.950000000000003" customHeight="1">
      <c r="A10" s="363"/>
      <c r="B10" s="604" t="s">
        <v>305</v>
      </c>
      <c r="C10" s="606"/>
      <c r="D10" s="606"/>
      <c r="E10" s="606"/>
      <c r="X10" s="367"/>
    </row>
    <row r="11" spans="1:24" ht="20.100000000000001" customHeight="1">
      <c r="F11" s="373"/>
      <c r="G11" s="373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</row>
    <row r="12" spans="1:24" ht="18.75" customHeight="1">
      <c r="B12" s="449"/>
      <c r="C12" s="607"/>
      <c r="D12" s="608"/>
      <c r="E12" s="608"/>
      <c r="F12" s="607"/>
      <c r="G12" s="608"/>
      <c r="H12" s="607"/>
      <c r="I12" s="608"/>
      <c r="J12" s="451"/>
      <c r="K12" s="451"/>
    </row>
    <row r="13" spans="1:24" ht="18.75" customHeight="1">
      <c r="B13" s="46" t="s">
        <v>204</v>
      </c>
      <c r="C13" s="45" t="s">
        <v>208</v>
      </c>
      <c r="D13" s="30"/>
      <c r="E13" s="30"/>
    </row>
    <row r="14" spans="1:24" ht="15.95" customHeight="1">
      <c r="B14" s="46"/>
      <c r="C14" s="45"/>
      <c r="D14" s="30"/>
      <c r="E14" s="30"/>
    </row>
    <row r="15" spans="1:24" ht="15.95" customHeight="1">
      <c r="B15" s="46"/>
      <c r="C15" s="45"/>
      <c r="D15" s="30"/>
      <c r="E15" s="30"/>
    </row>
    <row r="16" spans="1:24" ht="15.95" customHeight="1">
      <c r="B16" s="30"/>
      <c r="C16" s="30"/>
      <c r="D16" s="30"/>
      <c r="E16" s="30"/>
    </row>
    <row r="23" spans="16:16" ht="15.95" customHeight="1">
      <c r="P23" s="219"/>
    </row>
  </sheetData>
  <mergeCells count="5">
    <mergeCell ref="C4:E4"/>
    <mergeCell ref="C3:E3"/>
    <mergeCell ref="B8:E8"/>
    <mergeCell ref="B5:E5"/>
    <mergeCell ref="C7:E7"/>
  </mergeCells>
  <phoneticPr fontId="2" type="noConversion"/>
  <pageMargins left="0.74803149606299213" right="0.74803149606299213" top="0.97" bottom="0.78740157480314965" header="0.51181102362204722" footer="0.51181102362204722"/>
  <pageSetup paperSize="9" orientation="landscape" horizontalDpi="4294967293" r:id="rId1"/>
  <headerFooter alignWithMargins="0"/>
  <colBreaks count="1" manualBreakCount="1">
    <brk id="31" max="62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2"/>
  <sheetViews>
    <sheetView view="pageBreakPreview" zoomScale="85" zoomScaleNormal="70" zoomScaleSheetLayoutView="85" workbookViewId="0">
      <selection activeCell="J22" sqref="J22"/>
    </sheetView>
  </sheetViews>
  <sheetFormatPr defaultRowHeight="15.95" customHeight="1"/>
  <cols>
    <col min="1" max="1" width="3.21875" style="207" customWidth="1"/>
    <col min="2" max="2" width="25.21875" style="207" customWidth="1"/>
    <col min="3" max="3" width="30.77734375" style="207" customWidth="1"/>
    <col min="4" max="7" width="20.77734375" style="207" customWidth="1"/>
    <col min="8" max="8" width="7.77734375" style="207" customWidth="1"/>
    <col min="9" max="9" width="6.6640625" style="207" customWidth="1"/>
    <col min="10" max="10" width="15" style="207" customWidth="1"/>
    <col min="11" max="12" width="14.33203125" style="207" customWidth="1"/>
    <col min="13" max="13" width="12.33203125" style="455" customWidth="1"/>
    <col min="14" max="14" width="7.88671875" style="207" customWidth="1"/>
    <col min="15" max="15" width="10.109375" style="207" bestFit="1" customWidth="1"/>
    <col min="16" max="16" width="7.77734375" style="207" customWidth="1"/>
    <col min="17" max="16384" width="8.88671875" style="207"/>
  </cols>
  <sheetData>
    <row r="1" spans="1:13" s="365" customFormat="1" ht="39.950000000000003" customHeight="1">
      <c r="A1" s="364" t="s">
        <v>611</v>
      </c>
      <c r="M1" s="452"/>
    </row>
    <row r="2" spans="1:13" s="365" customFormat="1" ht="39.950000000000003" customHeight="1">
      <c r="A2" s="364"/>
      <c r="M2" s="452"/>
    </row>
    <row r="3" spans="1:13" s="218" customFormat="1" ht="39.950000000000003" customHeight="1">
      <c r="B3" s="1075" t="s">
        <v>612</v>
      </c>
      <c r="C3" s="1074" t="s">
        <v>613</v>
      </c>
      <c r="D3" s="1074" t="s">
        <v>703</v>
      </c>
      <c r="E3" s="1074" t="s">
        <v>614</v>
      </c>
      <c r="F3" s="1074" t="s">
        <v>741</v>
      </c>
      <c r="G3" s="1074" t="s">
        <v>615</v>
      </c>
    </row>
    <row r="4" spans="1:13" s="218" customFormat="1" ht="39.950000000000003" customHeight="1">
      <c r="B4" s="1076"/>
      <c r="C4" s="1074"/>
      <c r="D4" s="1074"/>
      <c r="E4" s="1074"/>
      <c r="F4" s="1074"/>
      <c r="G4" s="1074"/>
    </row>
    <row r="5" spans="1:13" s="218" customFormat="1" ht="39.950000000000003" customHeight="1">
      <c r="B5" s="1069" t="str">
        <f>참여업체!B6</f>
        <v>oo엔지니어링</v>
      </c>
      <c r="C5" s="770" t="s">
        <v>739</v>
      </c>
      <c r="D5" s="770"/>
      <c r="E5" s="770"/>
      <c r="F5" s="770"/>
      <c r="G5" s="771">
        <v>96</v>
      </c>
    </row>
    <row r="6" spans="1:13" s="218" customFormat="1" ht="39.950000000000003" customHeight="1">
      <c r="B6" s="1070"/>
      <c r="C6" s="772" t="s">
        <v>739</v>
      </c>
      <c r="D6" s="772"/>
      <c r="E6" s="772"/>
      <c r="F6" s="772"/>
      <c r="G6" s="773">
        <v>95</v>
      </c>
    </row>
    <row r="7" spans="1:13" s="218" customFormat="1" ht="39.950000000000003" customHeight="1">
      <c r="B7" s="1070"/>
      <c r="C7" s="774" t="s">
        <v>739</v>
      </c>
      <c r="D7" s="774"/>
      <c r="E7" s="774"/>
      <c r="F7" s="774"/>
      <c r="G7" s="775">
        <v>94</v>
      </c>
    </row>
    <row r="8" spans="1:13" s="218" customFormat="1" ht="39.950000000000003" customHeight="1">
      <c r="B8" s="1072"/>
      <c r="C8" s="1073" t="s">
        <v>740</v>
      </c>
      <c r="D8" s="1073"/>
      <c r="E8" s="1073"/>
      <c r="F8" s="1073"/>
      <c r="G8" s="780">
        <f>IF(AVERAGE(G5:G7)&gt;=배점기준!$E$81,배점기준!$E$82,IF(AVERAGE(G5:G7)&gt;=배점기준!$F$81,배점기준!$F$82,IF(AVERAGE(G5:G7)&gt;=배점기준!$G$81,배점기준!$G$82,IF(AVERAGE(G5:G7)&gt;=배점기준!$H$81,배점기준!$H$82,배점기준!$G$82))))</f>
        <v>2</v>
      </c>
    </row>
    <row r="9" spans="1:13" s="218" customFormat="1" ht="39.950000000000003" customHeight="1">
      <c r="B9" s="1069" t="str">
        <f>참여업체!C6</f>
        <v>＊＊엔지니어링</v>
      </c>
      <c r="C9" s="770" t="s">
        <v>739</v>
      </c>
      <c r="D9" s="770"/>
      <c r="E9" s="770"/>
      <c r="F9" s="770"/>
      <c r="G9" s="771">
        <v>96</v>
      </c>
    </row>
    <row r="10" spans="1:13" s="218" customFormat="1" ht="39.950000000000003" customHeight="1">
      <c r="B10" s="1070"/>
      <c r="C10" s="772" t="s">
        <v>739</v>
      </c>
      <c r="D10" s="772"/>
      <c r="E10" s="772"/>
      <c r="F10" s="772"/>
      <c r="G10" s="773">
        <v>94</v>
      </c>
    </row>
    <row r="11" spans="1:13" s="218" customFormat="1" ht="39.950000000000003" customHeight="1">
      <c r="B11" s="1070"/>
      <c r="C11" s="774" t="s">
        <v>739</v>
      </c>
      <c r="D11" s="774"/>
      <c r="E11" s="774"/>
      <c r="F11" s="774"/>
      <c r="G11" s="775">
        <v>92</v>
      </c>
    </row>
    <row r="12" spans="1:13" s="218" customFormat="1" ht="39.950000000000003" customHeight="1">
      <c r="B12" s="1072"/>
      <c r="C12" s="1073" t="s">
        <v>740</v>
      </c>
      <c r="D12" s="1073"/>
      <c r="E12" s="1073"/>
      <c r="F12" s="1073"/>
      <c r="G12" s="780">
        <f>IF(AVERAGE(G9:G11)&gt;=배점기준!$E$81,배점기준!$E$82,IF(AVERAGE(G9:G11)&gt;=배점기준!$F$81,배점기준!$F$82,IF(AVERAGE(G9:G11)&gt;=배점기준!$G$81,배점기준!$G$82,IF(AVERAGE(G9:G11)&gt;=배점기준!$H$81,배점기준!$H$82,배점기준!$G$82))))</f>
        <v>1.8</v>
      </c>
    </row>
    <row r="13" spans="1:13" s="218" customFormat="1" ht="39.950000000000003" customHeight="1">
      <c r="B13" s="1069" t="str">
        <f>참여업체!D6</f>
        <v>☆☆엔지니어링</v>
      </c>
      <c r="C13" s="770" t="s">
        <v>739</v>
      </c>
      <c r="D13" s="770"/>
      <c r="E13" s="770"/>
      <c r="F13" s="770"/>
      <c r="G13" s="771">
        <v>92</v>
      </c>
    </row>
    <row r="14" spans="1:13" s="218" customFormat="1" ht="39.950000000000003" customHeight="1">
      <c r="B14" s="1070"/>
      <c r="C14" s="772" t="s">
        <v>739</v>
      </c>
      <c r="D14" s="772"/>
      <c r="E14" s="772"/>
      <c r="F14" s="772"/>
      <c r="G14" s="773">
        <v>90</v>
      </c>
    </row>
    <row r="15" spans="1:13" s="218" customFormat="1" ht="39.950000000000003" customHeight="1">
      <c r="B15" s="1070"/>
      <c r="C15" s="774" t="s">
        <v>739</v>
      </c>
      <c r="D15" s="774"/>
      <c r="E15" s="774"/>
      <c r="F15" s="774"/>
      <c r="G15" s="775">
        <v>88</v>
      </c>
    </row>
    <row r="16" spans="1:13" s="218" customFormat="1" ht="39.950000000000003" customHeight="1" thickBot="1">
      <c r="B16" s="1070"/>
      <c r="C16" s="1071" t="s">
        <v>740</v>
      </c>
      <c r="D16" s="1071"/>
      <c r="E16" s="1071"/>
      <c r="F16" s="1071"/>
      <c r="G16" s="780">
        <f>IF(AVERAGE(G13:G15)&gt;=배점기준!$E$81,배점기준!$E$82,IF(AVERAGE(G13:G15)&gt;=배점기준!$F$81,배점기준!$F$82,IF(AVERAGE(G13:G15)&gt;=배점기준!$G$81,배점기준!$G$82,IF(AVERAGE(G13:G15)&gt;=배점기준!$H$81,배점기준!$H$82,배점기준!$G$82))))</f>
        <v>1.6</v>
      </c>
    </row>
    <row r="17" spans="1:7" s="218" customFormat="1" ht="39.950000000000003" customHeight="1" thickBot="1">
      <c r="B17" s="1066" t="s">
        <v>743</v>
      </c>
      <c r="C17" s="1067"/>
      <c r="D17" s="1067"/>
      <c r="E17" s="1067"/>
      <c r="F17" s="1068"/>
      <c r="G17" s="776">
        <f>G8*참여업체!B7+용역수행성과!G12*참여업체!C7+용역수행성과!G16*참여업체!D7</f>
        <v>1.8340000000000001</v>
      </c>
    </row>
    <row r="18" spans="1:7" ht="39.950000000000003" customHeight="1"/>
    <row r="19" spans="1:7" ht="15.95" customHeight="1">
      <c r="B19" s="372"/>
    </row>
    <row r="20" spans="1:7" ht="15.95" customHeight="1">
      <c r="A20" s="34" t="s">
        <v>617</v>
      </c>
      <c r="B20" s="35" t="s">
        <v>618</v>
      </c>
      <c r="C20" s="35"/>
      <c r="D20" s="390"/>
      <c r="E20" s="390"/>
    </row>
    <row r="21" spans="1:7" ht="15.95" customHeight="1">
      <c r="A21" s="390"/>
      <c r="B21" s="35"/>
      <c r="C21" s="35"/>
      <c r="D21" s="390"/>
      <c r="E21" s="390"/>
    </row>
    <row r="22" spans="1:7" ht="15.95" customHeight="1">
      <c r="B22" s="393"/>
      <c r="C22" s="393"/>
    </row>
  </sheetData>
  <mergeCells count="13">
    <mergeCell ref="G3:G4"/>
    <mergeCell ref="B5:B8"/>
    <mergeCell ref="C8:F8"/>
    <mergeCell ref="B3:B4"/>
    <mergeCell ref="C3:C4"/>
    <mergeCell ref="D3:D4"/>
    <mergeCell ref="E3:E4"/>
    <mergeCell ref="F3:F4"/>
    <mergeCell ref="B17:F17"/>
    <mergeCell ref="B13:B16"/>
    <mergeCell ref="C16:F16"/>
    <mergeCell ref="B9:B12"/>
    <mergeCell ref="C12:F12"/>
  </mergeCells>
  <phoneticPr fontId="2" type="noConversion"/>
  <pageMargins left="0.74803149606299213" right="0.74803149606299213" top="1.08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0"/>
  </sheetPr>
  <dimension ref="A1:R40"/>
  <sheetViews>
    <sheetView view="pageBreakPreview" zoomScaleSheetLayoutView="100" workbookViewId="0">
      <selection activeCell="A2" sqref="A2"/>
    </sheetView>
  </sheetViews>
  <sheetFormatPr defaultRowHeight="15.95" customHeight="1"/>
  <cols>
    <col min="1" max="1" width="3.77734375" style="207" customWidth="1"/>
    <col min="2" max="2" width="19.77734375" style="207" customWidth="1"/>
    <col min="3" max="6" width="10" style="207" customWidth="1"/>
    <col min="7" max="7" width="10" style="374" customWidth="1"/>
    <col min="8" max="8" width="10" style="209" customWidth="1"/>
    <col min="9" max="9" width="10" style="207" customWidth="1"/>
    <col min="10" max="10" width="8" style="207" customWidth="1"/>
    <col min="11" max="11" width="9" style="395" customWidth="1"/>
    <col min="12" max="12" width="7.33203125" style="207" customWidth="1"/>
    <col min="13" max="13" width="13.33203125" style="207" customWidth="1"/>
    <col min="14" max="14" width="7.77734375" style="559" customWidth="1"/>
    <col min="15" max="16" width="9" style="559" bestFit="1" customWidth="1"/>
    <col min="17" max="18" width="7.77734375" style="559" customWidth="1"/>
    <col min="19" max="19" width="8.88671875" style="207"/>
    <col min="20" max="20" width="3.33203125" style="207" customWidth="1"/>
    <col min="21" max="23" width="11.88671875" style="207" customWidth="1"/>
    <col min="24" max="16384" width="8.88671875" style="207"/>
  </cols>
  <sheetData>
    <row r="1" spans="1:18" s="365" customFormat="1" ht="30" customHeight="1">
      <c r="A1" s="364" t="s">
        <v>194</v>
      </c>
      <c r="G1" s="366"/>
      <c r="H1" s="529"/>
      <c r="N1" s="530"/>
      <c r="O1" s="530"/>
      <c r="P1" s="530"/>
      <c r="Q1" s="530"/>
      <c r="R1" s="530"/>
    </row>
    <row r="2" spans="1:18" s="365" customFormat="1" ht="15" customHeight="1">
      <c r="A2" s="364"/>
      <c r="G2" s="366"/>
      <c r="H2" s="529"/>
      <c r="N2" s="530"/>
      <c r="O2" s="530"/>
      <c r="P2" s="530"/>
      <c r="Q2" s="530"/>
      <c r="R2" s="530"/>
    </row>
    <row r="3" spans="1:18" s="365" customFormat="1" ht="30" customHeight="1">
      <c r="B3" s="401" t="s">
        <v>100</v>
      </c>
      <c r="G3" s="366"/>
      <c r="H3" s="529"/>
    </row>
    <row r="4" spans="1:18" s="218" customFormat="1" ht="30" customHeight="1">
      <c r="B4" s="1080" t="s">
        <v>54</v>
      </c>
      <c r="C4" s="1080" t="s">
        <v>150</v>
      </c>
      <c r="D4" s="1082"/>
      <c r="E4" s="1083" t="s">
        <v>59</v>
      </c>
      <c r="F4" s="1083"/>
      <c r="G4" s="1083"/>
      <c r="H4" s="976" t="s">
        <v>73</v>
      </c>
      <c r="I4" s="1092" t="s">
        <v>308</v>
      </c>
      <c r="J4" s="1093"/>
      <c r="K4" s="1094"/>
      <c r="L4" s="1087" t="s">
        <v>55</v>
      </c>
    </row>
    <row r="5" spans="1:18" s="218" customFormat="1" ht="30" customHeight="1">
      <c r="B5" s="1081"/>
      <c r="C5" s="487" t="s">
        <v>57</v>
      </c>
      <c r="D5" s="531" t="s">
        <v>705</v>
      </c>
      <c r="E5" s="532" t="s">
        <v>57</v>
      </c>
      <c r="F5" s="532" t="s">
        <v>705</v>
      </c>
      <c r="G5" s="533" t="s">
        <v>83</v>
      </c>
      <c r="H5" s="978"/>
      <c r="I5" s="534" t="s">
        <v>309</v>
      </c>
      <c r="J5" s="467" t="s">
        <v>152</v>
      </c>
      <c r="K5" s="486" t="s">
        <v>705</v>
      </c>
      <c r="L5" s="1087"/>
    </row>
    <row r="6" spans="1:18" s="218" customFormat="1" ht="30" customHeight="1">
      <c r="B6" s="535" t="str">
        <f>참여업체!B6</f>
        <v>oo엔지니어링</v>
      </c>
      <c r="C6" s="536">
        <v>0</v>
      </c>
      <c r="D6" s="537">
        <v>0</v>
      </c>
      <c r="E6" s="538">
        <f>((CEILING(C6/30,1)*배점기준!$E$84))</f>
        <v>0</v>
      </c>
      <c r="F6" s="538">
        <f>(CEILING(D6/90,1)*배점기준!$E$86)</f>
        <v>0</v>
      </c>
      <c r="G6" s="539">
        <f>E6+F6</f>
        <v>0</v>
      </c>
      <c r="H6" s="540">
        <v>0.42</v>
      </c>
      <c r="I6" s="541">
        <f>부실벌점!E5</f>
        <v>0.06</v>
      </c>
      <c r="J6" s="542">
        <f>부실벌점!F5</f>
        <v>0</v>
      </c>
      <c r="K6" s="1084">
        <f>부실벌점!F22</f>
        <v>0</v>
      </c>
      <c r="L6" s="1090">
        <f>7+G6*H6+G8*H8+J6*H6+J8*H8+K6</f>
        <v>7</v>
      </c>
    </row>
    <row r="7" spans="1:18" s="218" customFormat="1" ht="30" customHeight="1">
      <c r="B7" s="543" t="str">
        <f>참여업체!C6</f>
        <v>＊＊엔지니어링</v>
      </c>
      <c r="C7" s="544">
        <v>0</v>
      </c>
      <c r="D7" s="545">
        <v>0</v>
      </c>
      <c r="E7" s="546">
        <v>0</v>
      </c>
      <c r="F7" s="546">
        <v>0</v>
      </c>
      <c r="G7" s="547" t="s">
        <v>385</v>
      </c>
      <c r="H7" s="548">
        <v>0.33</v>
      </c>
      <c r="I7" s="549">
        <f>부실벌점!E6</f>
        <v>0.13</v>
      </c>
      <c r="J7" s="550">
        <v>0</v>
      </c>
      <c r="K7" s="1085"/>
      <c r="L7" s="1078"/>
    </row>
    <row r="8" spans="1:18" s="218" customFormat="1" ht="30" customHeight="1">
      <c r="B8" s="551" t="str">
        <f>참여업체!D6</f>
        <v>☆☆엔지니어링</v>
      </c>
      <c r="C8" s="552">
        <v>0</v>
      </c>
      <c r="D8" s="553">
        <v>0</v>
      </c>
      <c r="E8" s="554">
        <f>((CEILING(C8/30,1)*배점기준!$E$84))</f>
        <v>0</v>
      </c>
      <c r="F8" s="554">
        <f>(CEILING(D8/90,1)*배점기준!$E$86)</f>
        <v>0</v>
      </c>
      <c r="G8" s="555">
        <f>E8+F8</f>
        <v>0</v>
      </c>
      <c r="H8" s="556">
        <v>0.25</v>
      </c>
      <c r="I8" s="557">
        <f>부실벌점!E7</f>
        <v>0.1</v>
      </c>
      <c r="J8" s="558">
        <f>부실벌점!F7</f>
        <v>0</v>
      </c>
      <c r="K8" s="1086"/>
      <c r="L8" s="1091"/>
    </row>
    <row r="9" spans="1:18" ht="15" customHeight="1">
      <c r="B9" s="395"/>
    </row>
    <row r="10" spans="1:18" ht="30" customHeight="1">
      <c r="B10" s="401" t="s">
        <v>168</v>
      </c>
      <c r="C10" s="401"/>
      <c r="D10" s="530"/>
      <c r="E10" s="530"/>
      <c r="F10" s="530"/>
      <c r="G10" s="530"/>
      <c r="H10" s="530"/>
      <c r="I10" s="365"/>
    </row>
    <row r="11" spans="1:18" ht="30" customHeight="1">
      <c r="B11" s="1080" t="s">
        <v>54</v>
      </c>
      <c r="C11" s="560" t="s">
        <v>197</v>
      </c>
      <c r="D11" s="561" t="s">
        <v>114</v>
      </c>
      <c r="E11" s="562" t="s">
        <v>115</v>
      </c>
      <c r="F11" s="560" t="s">
        <v>113</v>
      </c>
      <c r="G11" s="561" t="s">
        <v>114</v>
      </c>
      <c r="H11" s="563" t="s">
        <v>115</v>
      </c>
      <c r="I11" s="564" t="s">
        <v>169</v>
      </c>
      <c r="J11" s="976" t="s">
        <v>73</v>
      </c>
      <c r="K11" s="1088" t="s">
        <v>55</v>
      </c>
    </row>
    <row r="12" spans="1:18" ht="30" customHeight="1">
      <c r="B12" s="1081"/>
      <c r="C12" s="565" t="s">
        <v>71</v>
      </c>
      <c r="D12" s="566" t="s">
        <v>71</v>
      </c>
      <c r="E12" s="567" t="s">
        <v>71</v>
      </c>
      <c r="F12" s="565" t="s">
        <v>59</v>
      </c>
      <c r="G12" s="566" t="s">
        <v>59</v>
      </c>
      <c r="H12" s="568" t="s">
        <v>59</v>
      </c>
      <c r="I12" s="569" t="s">
        <v>59</v>
      </c>
      <c r="J12" s="978"/>
      <c r="K12" s="1089"/>
    </row>
    <row r="13" spans="1:18" ht="30" customHeight="1">
      <c r="B13" s="535" t="str">
        <f>B6</f>
        <v>oo엔지니어링</v>
      </c>
      <c r="C13" s="570" t="s">
        <v>518</v>
      </c>
      <c r="D13" s="571" t="s">
        <v>518</v>
      </c>
      <c r="E13" s="572" t="s">
        <v>129</v>
      </c>
      <c r="F13" s="573">
        <f>IF(OR(C13=C$22,C13=C$23,C13=C$24,C13=C$25,C13=C$26,C13=C$27,C13=C$28),3,IF(OR(C13=C$29,C13=C$30,C13=C$31),2.7,IF(OR(C13=C$32,C13=C$33,C13=C$34,C13=C$35,C13=C$36,C13=C$37),2.4,IF(C13=C$38,2.1,0))))</f>
        <v>0</v>
      </c>
      <c r="G13" s="574">
        <f>IF(OR(D13=D$22,D13=D$23,D13=D$24,D13=D$25),3,IF(D13=D$26,2.7,IF(OR(D13=D$27,D13=D$28,D13=D$29,D13=D$30,D13=D$31),2.4,IF(D13=D$32,2.1,0))))</f>
        <v>0</v>
      </c>
      <c r="H13" s="575">
        <f>IF(OR(E13=E$26,E13=E$27,E13=E$28,E13=E$29,E13=E$30,E13=E$31,E13=E$32,E13=E$33,E13=E$34,E13=E$35),3,IF(OR(E13=E$36,E13=E$37,E13=E$38,E13=E$39,E13=E$40,E13=E$41),2.8,IF(E13=E$42,2.1,0)))</f>
        <v>3</v>
      </c>
      <c r="I13" s="576">
        <f>MAX(F13:H13)</f>
        <v>3</v>
      </c>
      <c r="J13" s="577">
        <v>0.42</v>
      </c>
      <c r="K13" s="1077">
        <f>I13*J13+I14*J14+I15*J15</f>
        <v>3</v>
      </c>
    </row>
    <row r="14" spans="1:18" ht="30" customHeight="1">
      <c r="B14" s="578" t="str">
        <f>B7</f>
        <v>＊＊엔지니어링</v>
      </c>
      <c r="C14" s="579" t="s">
        <v>518</v>
      </c>
      <c r="D14" s="580" t="s">
        <v>518</v>
      </c>
      <c r="E14" s="581" t="s">
        <v>123</v>
      </c>
      <c r="F14" s="582">
        <f>IF(OR(C14=C$22,C14=C$23,C14=C$24,C14=C$25,C14=C$26,C14=C$27,C14=C$28),3,IF(OR(C14=C$29,C14=C$30,C14=C$31),2.7,IF(OR(C14=C$32,C14=C$33,C14=C$34,C14=C$35,C14=C$36,C14=C$37),2.4,IF(C14=C$38,2.1,0))))</f>
        <v>0</v>
      </c>
      <c r="G14" s="583">
        <f>IF(OR(D14=D$22,D14=D$23,D14=D$24,D14=D$25),3,IF(D14=D$26,2.7,IF(OR(D14=D$27,D14=D$28,D14=D$29,D14=D$30,D14=D$31),2.4,IF(D14=D$32,2.1,0))))</f>
        <v>0</v>
      </c>
      <c r="H14" s="584">
        <f>IF(OR(E14=E$26,E14=E$27,E14=E$28,E14=E$29,E14=E$30,E14=E$31,E14=E$32,E14=E$33,E14=E$34,E14=E$35),3,IF(OR(E14=E$36,E14=E$37,E14=E$38,E14=E$39,E14=E$40,E14=E$41),2.8,IF(E14=E$42,2.1,0)))</f>
        <v>3</v>
      </c>
      <c r="I14" s="585">
        <f>MAX(F14:H14)</f>
        <v>3</v>
      </c>
      <c r="J14" s="586">
        <v>0.33</v>
      </c>
      <c r="K14" s="1078"/>
    </row>
    <row r="15" spans="1:18" ht="30" customHeight="1">
      <c r="B15" s="551" t="str">
        <f>B8</f>
        <v>☆☆엔지니어링</v>
      </c>
      <c r="C15" s="587" t="s">
        <v>518</v>
      </c>
      <c r="D15" s="588" t="s">
        <v>518</v>
      </c>
      <c r="E15" s="589" t="s">
        <v>125</v>
      </c>
      <c r="F15" s="590">
        <f>IF(OR(C15=C$22,C15=C$23,C15=C$24,C15=C$25,C15=C$26,C15=C$27,C15=C$28),3,IF(OR(C15=C$29,C15=C$30,C15=C$31),2.7,IF(OR(C15=C$32,C15=C$33,C15=C$34,C15=C$35,C15=C$36,C15=C$37),2.4,IF(C15=C$38,2.1,0))))</f>
        <v>0</v>
      </c>
      <c r="G15" s="591">
        <f>IF(OR(D15=D$22,D15=D$23,D15=D$24,D15=D$25),3,IF(D15=D$26,2.7,IF(OR(D15=D$27,D15=D$28,D15=D$29,D15=D$30,D15=D$31),2.4,IF(D15=D$32,2.1,0))))</f>
        <v>0</v>
      </c>
      <c r="H15" s="592">
        <f>IF(OR(E15=E$26,E15=E$27,E15=E$28,E15=E$29,E15=E$30,E15=E$31,E15=E$32,E15=E$33,E15=E$34,E15=E$35),3,IF(OR(E15=E$36,E15=E$37,E15=E$38,E15=E$39,E15=E$40,E15=E$41),2.8,IF(E15=E$42,2.1,0)))</f>
        <v>3</v>
      </c>
      <c r="I15" s="593">
        <f>MAX(F15:H15)</f>
        <v>3</v>
      </c>
      <c r="J15" s="556">
        <v>0.25</v>
      </c>
      <c r="K15" s="1079"/>
    </row>
    <row r="16" spans="1:18" ht="30" customHeight="1"/>
    <row r="17" spans="1:14" s="10" customFormat="1" ht="20.100000000000001" customHeight="1">
      <c r="A17" s="33" t="s">
        <v>666</v>
      </c>
      <c r="B17" s="33" t="s">
        <v>198</v>
      </c>
      <c r="C17" s="25"/>
      <c r="D17" s="594"/>
      <c r="E17" s="594"/>
      <c r="F17" s="594"/>
      <c r="G17" s="594"/>
      <c r="H17" s="594"/>
      <c r="I17" s="594"/>
      <c r="J17" s="594"/>
      <c r="K17" s="11"/>
      <c r="L17" s="12"/>
      <c r="M17" s="12"/>
      <c r="N17" s="12"/>
    </row>
    <row r="18" spans="1:14" ht="20.100000000000001" customHeight="1">
      <c r="A18" s="33" t="s">
        <v>667</v>
      </c>
      <c r="B18" s="33" t="s">
        <v>53</v>
      </c>
    </row>
    <row r="19" spans="1:14" ht="20.100000000000001" customHeight="1">
      <c r="A19" s="33" t="s">
        <v>669</v>
      </c>
      <c r="B19" s="33" t="s">
        <v>200</v>
      </c>
    </row>
    <row r="20" spans="1:14" ht="20.100000000000001" customHeight="1" thickBot="1"/>
    <row r="21" spans="1:14" ht="20.100000000000001" customHeight="1">
      <c r="C21" s="595" t="s">
        <v>113</v>
      </c>
      <c r="D21" s="596" t="s">
        <v>114</v>
      </c>
      <c r="E21" s="597" t="s">
        <v>115</v>
      </c>
    </row>
    <row r="22" spans="1:14" ht="20.100000000000001" customHeight="1">
      <c r="C22" s="598" t="s">
        <v>116</v>
      </c>
      <c r="D22" s="599" t="s">
        <v>117</v>
      </c>
      <c r="E22" s="600" t="s">
        <v>116</v>
      </c>
    </row>
    <row r="23" spans="1:14" ht="20.100000000000001" customHeight="1">
      <c r="C23" s="598" t="s">
        <v>136</v>
      </c>
      <c r="D23" s="599" t="s">
        <v>118</v>
      </c>
      <c r="E23" s="600" t="s">
        <v>136</v>
      </c>
    </row>
    <row r="24" spans="1:14" ht="20.100000000000001" customHeight="1">
      <c r="C24" s="598" t="s">
        <v>137</v>
      </c>
      <c r="D24" s="599" t="s">
        <v>119</v>
      </c>
      <c r="E24" s="600" t="s">
        <v>137</v>
      </c>
    </row>
    <row r="25" spans="1:14" ht="20.100000000000001" customHeight="1">
      <c r="C25" s="598" t="s">
        <v>138</v>
      </c>
      <c r="D25" s="599" t="s">
        <v>120</v>
      </c>
      <c r="E25" s="600" t="s">
        <v>138</v>
      </c>
    </row>
    <row r="26" spans="1:14" ht="20.100000000000001" customHeight="1">
      <c r="C26" s="598" t="s">
        <v>121</v>
      </c>
      <c r="D26" s="599" t="s">
        <v>122</v>
      </c>
      <c r="E26" s="600" t="s">
        <v>121</v>
      </c>
    </row>
    <row r="27" spans="1:14" ht="20.100000000000001" customHeight="1">
      <c r="C27" s="598" t="s">
        <v>123</v>
      </c>
      <c r="D27" s="599" t="s">
        <v>124</v>
      </c>
      <c r="E27" s="600" t="s">
        <v>123</v>
      </c>
    </row>
    <row r="28" spans="1:14" ht="20.100000000000001" customHeight="1">
      <c r="C28" s="598" t="s">
        <v>125</v>
      </c>
      <c r="D28" s="599" t="s">
        <v>126</v>
      </c>
      <c r="E28" s="600" t="s">
        <v>125</v>
      </c>
    </row>
    <row r="29" spans="1:14" ht="20.100000000000001" customHeight="1">
      <c r="C29" s="598" t="s">
        <v>127</v>
      </c>
      <c r="D29" s="599" t="s">
        <v>128</v>
      </c>
      <c r="E29" s="600" t="s">
        <v>127</v>
      </c>
    </row>
    <row r="30" spans="1:14" ht="20.100000000000001" customHeight="1">
      <c r="C30" s="598" t="s">
        <v>129</v>
      </c>
      <c r="D30" s="599" t="s">
        <v>130</v>
      </c>
      <c r="E30" s="600" t="s">
        <v>129</v>
      </c>
    </row>
    <row r="31" spans="1:14" ht="20.100000000000001" customHeight="1">
      <c r="C31" s="598" t="s">
        <v>131</v>
      </c>
      <c r="D31" s="599" t="s">
        <v>132</v>
      </c>
      <c r="E31" s="600" t="s">
        <v>131</v>
      </c>
    </row>
    <row r="32" spans="1:14" ht="20.100000000000001" customHeight="1">
      <c r="C32" s="598" t="s">
        <v>139</v>
      </c>
      <c r="D32" s="599" t="s">
        <v>133</v>
      </c>
      <c r="E32" s="600" t="s">
        <v>139</v>
      </c>
    </row>
    <row r="33" spans="3:5" ht="20.100000000000001" customHeight="1">
      <c r="C33" s="598" t="s">
        <v>140</v>
      </c>
      <c r="D33" s="599" t="s">
        <v>102</v>
      </c>
      <c r="E33" s="600" t="s">
        <v>140</v>
      </c>
    </row>
    <row r="34" spans="3:5" ht="20.100000000000001" customHeight="1">
      <c r="C34" s="598" t="s">
        <v>134</v>
      </c>
      <c r="D34" s="599"/>
      <c r="E34" s="600" t="s">
        <v>134</v>
      </c>
    </row>
    <row r="35" spans="3:5" ht="20.100000000000001" customHeight="1">
      <c r="C35" s="598" t="s">
        <v>141</v>
      </c>
      <c r="D35" s="599"/>
      <c r="E35" s="600" t="s">
        <v>141</v>
      </c>
    </row>
    <row r="36" spans="3:5" ht="20.100000000000001" customHeight="1">
      <c r="C36" s="598" t="s">
        <v>142</v>
      </c>
      <c r="D36" s="599"/>
      <c r="E36" s="600" t="s">
        <v>142</v>
      </c>
    </row>
    <row r="37" spans="3:5" ht="20.100000000000001" customHeight="1">
      <c r="C37" s="598" t="s">
        <v>143</v>
      </c>
      <c r="D37" s="599"/>
      <c r="E37" s="600" t="s">
        <v>143</v>
      </c>
    </row>
    <row r="38" spans="3:5" ht="20.100000000000001" customHeight="1">
      <c r="C38" s="598" t="s">
        <v>135</v>
      </c>
      <c r="D38" s="599"/>
      <c r="E38" s="600" t="s">
        <v>135</v>
      </c>
    </row>
    <row r="39" spans="3:5" ht="20.100000000000001" customHeight="1" thickBot="1">
      <c r="C39" s="601" t="s">
        <v>102</v>
      </c>
      <c r="D39" s="602"/>
      <c r="E39" s="603" t="s">
        <v>102</v>
      </c>
    </row>
    <row r="40" spans="3:5" ht="20.100000000000001" customHeight="1"/>
  </sheetData>
  <protectedRanges>
    <protectedRange password="CF2F" sqref="C13:E15 C6:D8" name="범위1"/>
    <protectedRange password="CF2F" sqref="I6:I8" name="범위2"/>
    <protectedRange password="CF2F" sqref="I6:I8" name="범위1_1"/>
  </protectedRanges>
  <mergeCells count="12">
    <mergeCell ref="L4:L5"/>
    <mergeCell ref="H4:H5"/>
    <mergeCell ref="J11:J12"/>
    <mergeCell ref="K11:K12"/>
    <mergeCell ref="L6:L8"/>
    <mergeCell ref="I4:K4"/>
    <mergeCell ref="K13:K15"/>
    <mergeCell ref="B11:B12"/>
    <mergeCell ref="B4:B5"/>
    <mergeCell ref="C4:D4"/>
    <mergeCell ref="E4:G4"/>
    <mergeCell ref="K6:K8"/>
  </mergeCells>
  <phoneticPr fontId="2" type="noConversion"/>
  <dataValidations count="3">
    <dataValidation type="list" allowBlank="1" showInputMessage="1" showErrorMessage="1" sqref="D13:D15">
      <formula1>$D$22:$D$33</formula1>
    </dataValidation>
    <dataValidation type="list" allowBlank="1" showInputMessage="1" showErrorMessage="1" sqref="E13:E15">
      <formula1>$E$22:$E$39</formula1>
    </dataValidation>
    <dataValidation type="list" allowBlank="1" showInputMessage="1" showErrorMessage="1" sqref="C13:C15">
      <formula1>$C$22:$C$39</formula1>
    </dataValidation>
  </dataValidations>
  <pageMargins left="0.74803149606299213" right="0.7" top="1.03" bottom="0.98425196850393704" header="0.51181102362204722" footer="0.51181102362204722"/>
  <pageSetup paperSize="9" scale="94" orientation="landscape" horizontalDpi="4294967293" r:id="rId1"/>
  <headerFooter alignWithMargins="0"/>
  <colBreaks count="1" manualBreakCount="1">
    <brk id="12" max="1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43"/>
  </sheetPr>
  <dimension ref="A1:Q118"/>
  <sheetViews>
    <sheetView view="pageBreakPreview" zoomScale="85" zoomScaleNormal="55" zoomScaleSheetLayoutView="70" workbookViewId="0">
      <selection activeCell="A2" sqref="A2"/>
    </sheetView>
  </sheetViews>
  <sheetFormatPr defaultRowHeight="15.95" customHeight="1"/>
  <cols>
    <col min="1" max="1" width="3.77734375" style="207" customWidth="1"/>
    <col min="2" max="2" width="20.6640625" style="207" customWidth="1"/>
    <col min="3" max="3" width="15.5546875" style="207" customWidth="1"/>
    <col min="4" max="4" width="39.44140625" style="207" customWidth="1"/>
    <col min="5" max="5" width="16.6640625" style="207" customWidth="1"/>
    <col min="6" max="6" width="12.44140625" style="207" customWidth="1"/>
    <col min="7" max="7" width="11.6640625" style="207" customWidth="1"/>
    <col min="8" max="8" width="5.6640625" style="207" bestFit="1" customWidth="1"/>
    <col min="9" max="9" width="20.33203125" style="207" customWidth="1"/>
    <col min="10" max="10" width="17.33203125" style="207" customWidth="1"/>
    <col min="11" max="12" width="8" style="207" bestFit="1" customWidth="1"/>
    <col min="13" max="13" width="14" style="207" customWidth="1"/>
    <col min="14" max="14" width="8.109375" style="207" customWidth="1"/>
    <col min="15" max="15" width="12.77734375" style="207" customWidth="1"/>
    <col min="16" max="16" width="8.33203125" style="207" customWidth="1"/>
    <col min="17" max="17" width="7.88671875" style="374" customWidth="1"/>
    <col min="18" max="18" width="6.33203125" style="207" bestFit="1" customWidth="1"/>
    <col min="19" max="19" width="8.77734375" style="207" customWidth="1"/>
    <col min="20" max="20" width="6.33203125" style="207" bestFit="1" customWidth="1"/>
    <col min="21" max="21" width="8.5546875" style="207" customWidth="1"/>
    <col min="22" max="22" width="7.5546875" style="207" bestFit="1" customWidth="1"/>
    <col min="23" max="23" width="6" style="207" customWidth="1"/>
    <col min="24" max="24" width="9.44140625" style="207" customWidth="1"/>
    <col min="25" max="25" width="4" style="207" customWidth="1"/>
    <col min="26" max="26" width="7.77734375" style="207" customWidth="1"/>
    <col min="27" max="16384" width="8.88671875" style="207"/>
  </cols>
  <sheetData>
    <row r="1" spans="1:8" s="493" customFormat="1" ht="33" customHeight="1">
      <c r="A1" s="492"/>
      <c r="B1" s="363" t="s">
        <v>257</v>
      </c>
      <c r="C1" s="30"/>
      <c r="D1" s="30"/>
      <c r="E1" s="30"/>
      <c r="F1" s="30"/>
      <c r="H1" s="494"/>
    </row>
    <row r="2" spans="1:8" s="493" customFormat="1" ht="15" customHeight="1">
      <c r="A2" s="492"/>
      <c r="B2" s="495"/>
      <c r="C2" s="30"/>
      <c r="D2" s="30"/>
      <c r="E2" s="30"/>
      <c r="F2" s="30"/>
      <c r="H2" s="494"/>
    </row>
    <row r="3" spans="1:8" s="493" customFormat="1" ht="33" customHeight="1" thickBot="1">
      <c r="B3" s="495" t="s">
        <v>258</v>
      </c>
      <c r="H3" s="494"/>
    </row>
    <row r="4" spans="1:8" s="390" customFormat="1" ht="33" customHeight="1">
      <c r="B4" s="496" t="s">
        <v>54</v>
      </c>
      <c r="C4" s="497" t="s">
        <v>73</v>
      </c>
      <c r="D4" s="497" t="s">
        <v>13</v>
      </c>
      <c r="E4" s="497" t="s">
        <v>56</v>
      </c>
      <c r="F4" s="498" t="s">
        <v>55</v>
      </c>
      <c r="H4" s="389"/>
    </row>
    <row r="5" spans="1:8" s="390" customFormat="1" ht="33" customHeight="1">
      <c r="B5" s="499" t="str">
        <f>신용도!B13</f>
        <v>oo엔지니어링</v>
      </c>
      <c r="C5" s="500">
        <v>0.42</v>
      </c>
      <c r="D5" s="501" t="s">
        <v>364</v>
      </c>
      <c r="E5" s="502">
        <v>0.06</v>
      </c>
      <c r="F5" s="503">
        <f>IF(E5&gt;=20,배점기준!$J$88,IF(E5&gt;=15,배점기준!$I$88,IF(E5&gt;=10,배점기준!$H$88,IF(E5&gt;=5,배점기준!$G$88,IF(E5&gt;=2,배점기준!$F$88,IF(E5&gt;=1,배점기준!$E$88,0))))))*-1</f>
        <v>0</v>
      </c>
      <c r="H5" s="389"/>
    </row>
    <row r="6" spans="1:8" s="390" customFormat="1" ht="33" customHeight="1">
      <c r="B6" s="504" t="str">
        <f>신용도!B14</f>
        <v>＊＊엔지니어링</v>
      </c>
      <c r="C6" s="505">
        <v>0.33</v>
      </c>
      <c r="D6" s="506" t="s">
        <v>364</v>
      </c>
      <c r="E6" s="507">
        <v>0.13</v>
      </c>
      <c r="F6" s="508">
        <v>0</v>
      </c>
      <c r="H6" s="389"/>
    </row>
    <row r="7" spans="1:8" s="390" customFormat="1" ht="33" customHeight="1" thickBot="1">
      <c r="B7" s="509" t="str">
        <f>신용도!B8</f>
        <v>☆☆엔지니어링</v>
      </c>
      <c r="C7" s="510">
        <v>0.25</v>
      </c>
      <c r="D7" s="511" t="s">
        <v>365</v>
      </c>
      <c r="E7" s="512">
        <v>0.1</v>
      </c>
      <c r="F7" s="513">
        <f>IF(E7&gt;=20,배점기준!$J$88,IF(E7&gt;=15,배점기준!$I$88,IF(E7&gt;=10,배점기준!$H$88,IF(E7&gt;=5,배점기준!$G$88,IF(E7&gt;=2,배점기준!$F$88,IF(E7&gt;=1,배점기준!$E$88,0))))))*-1</f>
        <v>0</v>
      </c>
      <c r="H7" s="389"/>
    </row>
    <row r="8" spans="1:8" s="390" customFormat="1" ht="15" customHeight="1">
      <c r="B8" s="514"/>
      <c r="C8" s="514"/>
      <c r="D8" s="514"/>
      <c r="E8" s="514"/>
      <c r="F8" s="514"/>
      <c r="H8" s="389"/>
    </row>
    <row r="9" spans="1:8" s="493" customFormat="1" ht="33" customHeight="1" thickBot="1">
      <c r="B9" s="495" t="s">
        <v>706</v>
      </c>
      <c r="H9" s="494"/>
    </row>
    <row r="10" spans="1:8" s="390" customFormat="1" ht="33" customHeight="1">
      <c r="B10" s="515" t="s">
        <v>12</v>
      </c>
      <c r="C10" s="516" t="s">
        <v>14</v>
      </c>
      <c r="D10" s="516" t="s">
        <v>13</v>
      </c>
      <c r="E10" s="497" t="s">
        <v>56</v>
      </c>
      <c r="F10" s="498" t="s">
        <v>55</v>
      </c>
      <c r="H10" s="389"/>
    </row>
    <row r="11" spans="1:8" s="390" customFormat="1" ht="33" customHeight="1">
      <c r="B11" s="517" t="s">
        <v>528</v>
      </c>
      <c r="C11" s="518"/>
      <c r="D11" s="519" t="s">
        <v>410</v>
      </c>
      <c r="E11" s="520">
        <v>0</v>
      </c>
      <c r="F11" s="521">
        <f>IF(E11&gt;=20,배점기준!$J$88,IF(E11&gt;=15,배점기준!$I$88,IF(E11&gt;=10,배점기준!$H$88,IF(E11&gt;=5,배점기준!$G$88,IF(E11&gt;=2,배점기준!$F$88,IF(E11&gt;=1,배점기준!$E$88,0))))))*-1</f>
        <v>0</v>
      </c>
      <c r="H11" s="389"/>
    </row>
    <row r="12" spans="1:8" s="390" customFormat="1" ht="33" customHeight="1">
      <c r="B12" s="517" t="s">
        <v>526</v>
      </c>
      <c r="C12" s="518"/>
      <c r="D12" s="519" t="s">
        <v>468</v>
      </c>
      <c r="E12" s="520">
        <v>0</v>
      </c>
      <c r="F12" s="521">
        <f>IF(E12&gt;=20,배점기준!$J$88,IF(E12&gt;=15,배점기준!$I$88,IF(E12&gt;=10,배점기준!$H$88,IF(E12&gt;=5,배점기준!$G$88,IF(E12&gt;=2,배점기준!$F$88,IF(E12&gt;=1,배점기준!$E$88,0))))))*-1</f>
        <v>0</v>
      </c>
      <c r="H12" s="389"/>
    </row>
    <row r="13" spans="1:8" s="390" customFormat="1" ht="33" customHeight="1">
      <c r="B13" s="517" t="s">
        <v>2</v>
      </c>
      <c r="C13" s="518"/>
      <c r="D13" s="519" t="s">
        <v>410</v>
      </c>
      <c r="E13" s="520">
        <v>0</v>
      </c>
      <c r="F13" s="521">
        <f>IF(E13&gt;=20,배점기준!$J$88,IF(E13&gt;=15,배점기준!$I$88,IF(E13&gt;=10,배점기준!$H$88,IF(E13&gt;=5,배점기준!$G$88,IF(E13&gt;=2,배점기준!$F$88,IF(E13&gt;=1,배점기준!$E$88,0))))))*-1</f>
        <v>0</v>
      </c>
      <c r="H13" s="389"/>
    </row>
    <row r="14" spans="1:8" s="390" customFormat="1" ht="33" customHeight="1">
      <c r="B14" s="517" t="s">
        <v>3</v>
      </c>
      <c r="C14" s="518"/>
      <c r="D14" s="519" t="s">
        <v>410</v>
      </c>
      <c r="E14" s="520">
        <v>0</v>
      </c>
      <c r="F14" s="521">
        <f>IF(E14&gt;=20,배점기준!$J$88,IF(E14&gt;=15,배점기준!$I$88,IF(E14&gt;=10,배점기준!$H$88,IF(E14&gt;=5,배점기준!$G$88,IF(E14&gt;=2,배점기준!$F$88,IF(E14&gt;=1,배점기준!$E$88,0))))))*-1</f>
        <v>0</v>
      </c>
      <c r="H14" s="389"/>
    </row>
    <row r="15" spans="1:8" s="390" customFormat="1" ht="33" customHeight="1">
      <c r="B15" s="517" t="s">
        <v>4</v>
      </c>
      <c r="C15" s="518"/>
      <c r="D15" s="519" t="s">
        <v>410</v>
      </c>
      <c r="E15" s="520">
        <v>0</v>
      </c>
      <c r="F15" s="521">
        <f>IF(E15&gt;=20,배점기준!$J$88,IF(E15&gt;=15,배점기준!$I$88,IF(E15&gt;=10,배점기준!$H$88,IF(E15&gt;=5,배점기준!$G$88,IF(E15&gt;=2,배점기준!$F$88,IF(E15&gt;=1,배점기준!$E$88,0))))))*-1</f>
        <v>0</v>
      </c>
      <c r="H15" s="389"/>
    </row>
    <row r="16" spans="1:8" s="390" customFormat="1" ht="33" customHeight="1">
      <c r="B16" s="517" t="s">
        <v>5</v>
      </c>
      <c r="C16" s="518"/>
      <c r="D16" s="519" t="s">
        <v>410</v>
      </c>
      <c r="E16" s="520">
        <v>0</v>
      </c>
      <c r="F16" s="521">
        <f>IF(E16&gt;=20,배점기준!$J$88,IF(E16&gt;=15,배점기준!$I$88,IF(E16&gt;=10,배점기준!$H$88,IF(E16&gt;=5,배점기준!$G$88,IF(E16&gt;=2,배점기준!$F$88,IF(E16&gt;=1,배점기준!$E$88,0))))))*-1</f>
        <v>0</v>
      </c>
      <c r="H16" s="389"/>
    </row>
    <row r="17" spans="1:8" s="390" customFormat="1" ht="33" customHeight="1">
      <c r="B17" s="522" t="s">
        <v>6</v>
      </c>
      <c r="C17" s="518"/>
      <c r="D17" s="519" t="s">
        <v>410</v>
      </c>
      <c r="E17" s="520">
        <v>0</v>
      </c>
      <c r="F17" s="521">
        <f>IF(E17&gt;=20,배점기준!$J$88,IF(E17&gt;=15,배점기준!$I$88,IF(E17&gt;=10,배점기준!$H$88,IF(E17&gt;=5,배점기준!$G$88,IF(E17&gt;=2,배점기준!$F$88,IF(E17&gt;=1,배점기준!$E$88,0))))))*-1</f>
        <v>0</v>
      </c>
      <c r="H17" s="389"/>
    </row>
    <row r="18" spans="1:8" s="390" customFormat="1" ht="33" customHeight="1">
      <c r="B18" s="517" t="s">
        <v>7</v>
      </c>
      <c r="C18" s="518"/>
      <c r="D18" s="519" t="s">
        <v>410</v>
      </c>
      <c r="E18" s="520">
        <v>0</v>
      </c>
      <c r="F18" s="521">
        <f>IF(E18&gt;=20,배점기준!$J$88,IF(E18&gt;=15,배점기준!$I$88,IF(E18&gt;=10,배점기준!$H$88,IF(E18&gt;=5,배점기준!$G$88,IF(E18&gt;=2,배점기준!$F$88,IF(E18&gt;=1,배점기준!$E$88,0))))))*-1</f>
        <v>0</v>
      </c>
      <c r="H18" s="389"/>
    </row>
    <row r="19" spans="1:8" s="390" customFormat="1" ht="33" customHeight="1">
      <c r="B19" s="523" t="s">
        <v>9</v>
      </c>
      <c r="C19" s="518"/>
      <c r="D19" s="519" t="s">
        <v>410</v>
      </c>
      <c r="E19" s="520">
        <v>0</v>
      </c>
      <c r="F19" s="521">
        <f>IF(E19&gt;=20,배점기준!$J$88,IF(E19&gt;=15,배점기준!$I$88,IF(E19&gt;=10,배점기준!$H$88,IF(E19&gt;=5,배점기준!$G$88,IF(E19&gt;=2,배점기준!$F$88,IF(E19&gt;=1,배점기준!$E$88,0))))))*-1</f>
        <v>0</v>
      </c>
      <c r="H19" s="389"/>
    </row>
    <row r="20" spans="1:8" s="390" customFormat="1" ht="33" customHeight="1">
      <c r="B20" s="517" t="s">
        <v>8</v>
      </c>
      <c r="C20" s="518"/>
      <c r="D20" s="519" t="s">
        <v>410</v>
      </c>
      <c r="E20" s="520">
        <v>0</v>
      </c>
      <c r="F20" s="521">
        <f>IF(E20&gt;=20,배점기준!$J$88,IF(E20&gt;=15,배점기준!$I$88,IF(E20&gt;=10,배점기준!$H$88,IF(E20&gt;=5,배점기준!$G$88,IF(E20&gt;=2,배점기준!$F$88,IF(E20&gt;=1,배점기준!$E$88,0))))))*-1</f>
        <v>0</v>
      </c>
      <c r="H20" s="389"/>
    </row>
    <row r="21" spans="1:8" s="390" customFormat="1" ht="33" customHeight="1">
      <c r="B21" s="517" t="s">
        <v>531</v>
      </c>
      <c r="C21" s="518"/>
      <c r="D21" s="519" t="s">
        <v>410</v>
      </c>
      <c r="E21" s="520">
        <v>0</v>
      </c>
      <c r="F21" s="521">
        <f>IF(E21&gt;=20,배점기준!$J$88,IF(E21&gt;=15,배점기준!$I$88,IF(E21&gt;=10,배점기준!$H$88,IF(E21&gt;=5,배점기준!$G$88,IF(E21&gt;=2,배점기준!$F$88,IF(E21&gt;=1,배점기준!$E$88,0))))))*-1</f>
        <v>0</v>
      </c>
      <c r="H21" s="389"/>
    </row>
    <row r="22" spans="1:8" s="493" customFormat="1" ht="33" customHeight="1" thickBot="1">
      <c r="A22" s="492"/>
      <c r="B22" s="524" t="s">
        <v>233</v>
      </c>
      <c r="C22" s="525"/>
      <c r="D22" s="526"/>
      <c r="E22" s="527"/>
      <c r="F22" s="528">
        <f>SUM(F11:F21)</f>
        <v>0</v>
      </c>
      <c r="H22" s="494"/>
    </row>
    <row r="23" spans="1:8" s="493" customFormat="1" ht="10.5">
      <c r="H23" s="494"/>
    </row>
    <row r="24" spans="1:8" s="493" customFormat="1" ht="15.95" customHeight="1">
      <c r="H24" s="494"/>
    </row>
    <row r="25" spans="1:8" s="493" customFormat="1" ht="15.95" customHeight="1">
      <c r="H25" s="494"/>
    </row>
    <row r="26" spans="1:8" s="493" customFormat="1" ht="15.95" customHeight="1">
      <c r="H26" s="494"/>
    </row>
    <row r="27" spans="1:8" s="493" customFormat="1" ht="10.5">
      <c r="H27" s="494"/>
    </row>
    <row r="28" spans="1:8" s="493" customFormat="1" ht="15.95" customHeight="1">
      <c r="H28" s="494"/>
    </row>
    <row r="29" spans="1:8" s="493" customFormat="1" ht="15.95" customHeight="1">
      <c r="H29" s="494"/>
    </row>
    <row r="30" spans="1:8" s="493" customFormat="1" ht="15.95" customHeight="1">
      <c r="H30" s="494"/>
    </row>
    <row r="31" spans="1:8" s="493" customFormat="1" ht="15.95" customHeight="1">
      <c r="H31" s="494"/>
    </row>
    <row r="32" spans="1:8" s="493" customFormat="1" ht="15.95" customHeight="1">
      <c r="H32" s="494"/>
    </row>
    <row r="33" spans="8:8" s="493" customFormat="1" ht="15.95" customHeight="1">
      <c r="H33" s="494"/>
    </row>
    <row r="34" spans="8:8" s="493" customFormat="1" ht="15.95" customHeight="1">
      <c r="H34" s="494"/>
    </row>
    <row r="35" spans="8:8" s="493" customFormat="1" ht="10.5">
      <c r="H35" s="494"/>
    </row>
    <row r="36" spans="8:8" s="493" customFormat="1" ht="15.95" customHeight="1">
      <c r="H36" s="494"/>
    </row>
    <row r="37" spans="8:8" s="493" customFormat="1" ht="15.95" customHeight="1">
      <c r="H37" s="494"/>
    </row>
    <row r="38" spans="8:8" s="493" customFormat="1" ht="15.95" customHeight="1">
      <c r="H38" s="494"/>
    </row>
    <row r="39" spans="8:8" s="493" customFormat="1" ht="15.95" customHeight="1">
      <c r="H39" s="494"/>
    </row>
    <row r="40" spans="8:8" s="493" customFormat="1" ht="15.95" customHeight="1">
      <c r="H40" s="494"/>
    </row>
    <row r="41" spans="8:8" s="493" customFormat="1" ht="15.95" customHeight="1">
      <c r="H41" s="494"/>
    </row>
    <row r="42" spans="8:8" s="493" customFormat="1" ht="15.95" customHeight="1">
      <c r="H42" s="494"/>
    </row>
    <row r="43" spans="8:8" s="493" customFormat="1" ht="10.5">
      <c r="H43" s="494"/>
    </row>
    <row r="44" spans="8:8" s="493" customFormat="1" ht="15.95" customHeight="1">
      <c r="H44" s="494"/>
    </row>
    <row r="45" spans="8:8" s="493" customFormat="1" ht="15.95" customHeight="1">
      <c r="H45" s="494"/>
    </row>
    <row r="46" spans="8:8" s="493" customFormat="1" ht="15.95" customHeight="1">
      <c r="H46" s="494"/>
    </row>
    <row r="47" spans="8:8" s="493" customFormat="1" ht="15.95" customHeight="1">
      <c r="H47" s="494"/>
    </row>
    <row r="48" spans="8:8" s="493" customFormat="1" ht="15.95" customHeight="1">
      <c r="H48" s="494"/>
    </row>
    <row r="49" spans="8:17" s="493" customFormat="1" ht="15.95" customHeight="1">
      <c r="H49" s="494"/>
    </row>
    <row r="50" spans="8:17" s="493" customFormat="1" ht="15.95" customHeight="1">
      <c r="Q50" s="494"/>
    </row>
    <row r="51" spans="8:17" s="493" customFormat="1" ht="15.95" customHeight="1">
      <c r="Q51" s="494"/>
    </row>
    <row r="52" spans="8:17" s="493" customFormat="1" ht="15.95" customHeight="1">
      <c r="Q52" s="494"/>
    </row>
    <row r="53" spans="8:17" s="493" customFormat="1" ht="15.95" customHeight="1">
      <c r="Q53" s="494"/>
    </row>
    <row r="54" spans="8:17" s="493" customFormat="1" ht="15.95" customHeight="1">
      <c r="Q54" s="494"/>
    </row>
    <row r="55" spans="8:17" s="493" customFormat="1" ht="15.95" customHeight="1">
      <c r="Q55" s="494"/>
    </row>
    <row r="56" spans="8:17" s="493" customFormat="1" ht="15.95" customHeight="1">
      <c r="Q56" s="494"/>
    </row>
    <row r="57" spans="8:17" s="493" customFormat="1" ht="15.95" customHeight="1">
      <c r="Q57" s="494"/>
    </row>
    <row r="58" spans="8:17" s="493" customFormat="1" ht="15.95" customHeight="1">
      <c r="Q58" s="494"/>
    </row>
    <row r="59" spans="8:17" s="493" customFormat="1" ht="15.95" customHeight="1">
      <c r="Q59" s="494"/>
    </row>
    <row r="60" spans="8:17" s="493" customFormat="1" ht="15.95" customHeight="1">
      <c r="Q60" s="494"/>
    </row>
    <row r="61" spans="8:17" s="493" customFormat="1" ht="15.95" customHeight="1">
      <c r="Q61" s="494"/>
    </row>
    <row r="62" spans="8:17" s="493" customFormat="1" ht="15.95" customHeight="1">
      <c r="Q62" s="494"/>
    </row>
    <row r="63" spans="8:17" s="493" customFormat="1" ht="15.95" customHeight="1">
      <c r="Q63" s="494"/>
    </row>
    <row r="64" spans="8:17" s="493" customFormat="1" ht="15.95" customHeight="1">
      <c r="Q64" s="494"/>
    </row>
    <row r="65" spans="17:17" s="493" customFormat="1" ht="15.95" customHeight="1">
      <c r="Q65" s="494"/>
    </row>
    <row r="66" spans="17:17" s="493" customFormat="1" ht="15.95" customHeight="1">
      <c r="Q66" s="494"/>
    </row>
    <row r="67" spans="17:17" s="493" customFormat="1" ht="15.95" customHeight="1">
      <c r="Q67" s="494"/>
    </row>
    <row r="68" spans="17:17" s="493" customFormat="1" ht="15.95" customHeight="1">
      <c r="Q68" s="494"/>
    </row>
    <row r="69" spans="17:17" s="493" customFormat="1" ht="15.95" customHeight="1">
      <c r="Q69" s="494"/>
    </row>
    <row r="70" spans="17:17" s="493" customFormat="1" ht="15.95" customHeight="1">
      <c r="Q70" s="494"/>
    </row>
    <row r="71" spans="17:17" s="493" customFormat="1" ht="15.95" customHeight="1">
      <c r="Q71" s="494"/>
    </row>
    <row r="72" spans="17:17" s="493" customFormat="1" ht="15.95" customHeight="1">
      <c r="Q72" s="494"/>
    </row>
    <row r="73" spans="17:17" s="493" customFormat="1" ht="15.95" customHeight="1">
      <c r="Q73" s="494"/>
    </row>
    <row r="74" spans="17:17" s="493" customFormat="1" ht="15.95" customHeight="1">
      <c r="Q74" s="494"/>
    </row>
    <row r="75" spans="17:17" s="493" customFormat="1" ht="15.95" customHeight="1">
      <c r="Q75" s="494"/>
    </row>
    <row r="76" spans="17:17" s="493" customFormat="1" ht="15.95" customHeight="1">
      <c r="Q76" s="494"/>
    </row>
    <row r="77" spans="17:17" s="493" customFormat="1" ht="15.95" customHeight="1">
      <c r="Q77" s="494"/>
    </row>
    <row r="78" spans="17:17" s="493" customFormat="1" ht="15.95" customHeight="1">
      <c r="Q78" s="494"/>
    </row>
    <row r="79" spans="17:17" s="493" customFormat="1" ht="15.95" customHeight="1">
      <c r="Q79" s="494"/>
    </row>
    <row r="80" spans="17:17" s="493" customFormat="1" ht="15.95" customHeight="1">
      <c r="Q80" s="494"/>
    </row>
    <row r="81" spans="17:17" s="493" customFormat="1" ht="15.95" customHeight="1">
      <c r="Q81" s="494"/>
    </row>
    <row r="82" spans="17:17" s="493" customFormat="1" ht="15.95" customHeight="1">
      <c r="Q82" s="494"/>
    </row>
    <row r="83" spans="17:17" s="493" customFormat="1" ht="15.95" customHeight="1">
      <c r="Q83" s="494"/>
    </row>
    <row r="84" spans="17:17" s="493" customFormat="1" ht="15.95" customHeight="1">
      <c r="Q84" s="494"/>
    </row>
    <row r="85" spans="17:17" s="493" customFormat="1" ht="15.95" customHeight="1">
      <c r="Q85" s="494"/>
    </row>
    <row r="86" spans="17:17" s="493" customFormat="1" ht="15.95" customHeight="1">
      <c r="Q86" s="494"/>
    </row>
    <row r="87" spans="17:17" s="493" customFormat="1" ht="15.95" customHeight="1">
      <c r="Q87" s="494"/>
    </row>
    <row r="88" spans="17:17" s="493" customFormat="1" ht="15.95" customHeight="1">
      <c r="Q88" s="494"/>
    </row>
    <row r="89" spans="17:17" s="493" customFormat="1" ht="15.95" customHeight="1">
      <c r="Q89" s="494"/>
    </row>
    <row r="90" spans="17:17" s="493" customFormat="1" ht="15.95" customHeight="1">
      <c r="Q90" s="494"/>
    </row>
    <row r="91" spans="17:17" s="493" customFormat="1" ht="15.95" customHeight="1">
      <c r="Q91" s="494"/>
    </row>
    <row r="92" spans="17:17" s="493" customFormat="1" ht="15.95" customHeight="1">
      <c r="Q92" s="494"/>
    </row>
    <row r="93" spans="17:17" s="493" customFormat="1" ht="15.95" customHeight="1">
      <c r="Q93" s="494"/>
    </row>
    <row r="94" spans="17:17" s="493" customFormat="1" ht="15.95" customHeight="1">
      <c r="Q94" s="494"/>
    </row>
    <row r="95" spans="17:17" s="493" customFormat="1" ht="15.95" customHeight="1">
      <c r="Q95" s="494"/>
    </row>
    <row r="96" spans="17:17" s="493" customFormat="1" ht="15.95" customHeight="1">
      <c r="Q96" s="494"/>
    </row>
    <row r="97" spans="17:17" s="493" customFormat="1" ht="15.95" customHeight="1">
      <c r="Q97" s="494"/>
    </row>
    <row r="98" spans="17:17" s="493" customFormat="1" ht="15.95" customHeight="1">
      <c r="Q98" s="494"/>
    </row>
    <row r="99" spans="17:17" s="493" customFormat="1" ht="15.95" customHeight="1">
      <c r="Q99" s="494"/>
    </row>
    <row r="100" spans="17:17" s="493" customFormat="1" ht="15.95" customHeight="1">
      <c r="Q100" s="494"/>
    </row>
    <row r="101" spans="17:17" s="493" customFormat="1" ht="15.95" customHeight="1">
      <c r="Q101" s="494"/>
    </row>
    <row r="102" spans="17:17" s="493" customFormat="1" ht="15.95" customHeight="1">
      <c r="Q102" s="494"/>
    </row>
    <row r="103" spans="17:17" s="493" customFormat="1" ht="15.95" customHeight="1">
      <c r="Q103" s="494"/>
    </row>
    <row r="104" spans="17:17" s="493" customFormat="1" ht="15.95" customHeight="1">
      <c r="Q104" s="494"/>
    </row>
    <row r="105" spans="17:17" s="493" customFormat="1" ht="15.95" customHeight="1">
      <c r="Q105" s="494"/>
    </row>
    <row r="106" spans="17:17" s="493" customFormat="1" ht="15.95" customHeight="1">
      <c r="Q106" s="494"/>
    </row>
    <row r="107" spans="17:17" s="493" customFormat="1" ht="15.95" customHeight="1">
      <c r="Q107" s="494"/>
    </row>
    <row r="108" spans="17:17" s="493" customFormat="1" ht="15.95" customHeight="1">
      <c r="Q108" s="494"/>
    </row>
    <row r="109" spans="17:17" s="493" customFormat="1" ht="15.95" customHeight="1">
      <c r="Q109" s="494"/>
    </row>
    <row r="110" spans="17:17" s="493" customFormat="1" ht="15.95" customHeight="1">
      <c r="Q110" s="494"/>
    </row>
    <row r="111" spans="17:17" s="493" customFormat="1" ht="15.95" customHeight="1">
      <c r="Q111" s="494"/>
    </row>
    <row r="112" spans="17:17" s="493" customFormat="1" ht="15.95" customHeight="1">
      <c r="Q112" s="494"/>
    </row>
    <row r="113" spans="2:17" s="493" customFormat="1" ht="15.95" customHeight="1">
      <c r="Q113" s="494"/>
    </row>
    <row r="114" spans="2:17" s="493" customFormat="1" ht="15.95" customHeight="1">
      <c r="Q114" s="494"/>
    </row>
    <row r="115" spans="2:17" s="493" customFormat="1" ht="15.95" customHeight="1">
      <c r="Q115" s="494"/>
    </row>
    <row r="116" spans="2:17" s="493" customFormat="1" ht="15.95" customHeight="1">
      <c r="Q116" s="494"/>
    </row>
    <row r="117" spans="2:17" s="493" customFormat="1" ht="15.95" customHeight="1">
      <c r="Q117" s="494"/>
    </row>
    <row r="118" spans="2:17" ht="15.95" customHeight="1">
      <c r="B118" s="493"/>
      <c r="C118" s="493"/>
      <c r="D118" s="493"/>
      <c r="E118" s="493"/>
      <c r="F118" s="493"/>
    </row>
  </sheetData>
  <phoneticPr fontId="2" type="noConversion"/>
  <pageMargins left="0.74803149606299213" right="0.74803149606299213" top="0.78740157480314965" bottom="0.6" header="0.51181102362204722" footer="0.51181102362204722"/>
  <pageSetup paperSize="9" scale="70" fitToHeight="4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J159"/>
  <sheetViews>
    <sheetView showGridLines="0" view="pageBreakPreview" zoomScale="85" zoomScaleNormal="85" zoomScaleSheetLayoutView="85" workbookViewId="0">
      <selection sqref="A1:D1"/>
    </sheetView>
  </sheetViews>
  <sheetFormatPr defaultRowHeight="12"/>
  <cols>
    <col min="1" max="1" width="17.109375" style="221" customWidth="1"/>
    <col min="2" max="2" width="15.77734375" style="221" customWidth="1"/>
    <col min="3" max="3" width="8.6640625" style="328" customWidth="1"/>
    <col min="4" max="4" width="17.21875" style="221" customWidth="1"/>
    <col min="5" max="7" width="16.88671875" style="221" customWidth="1"/>
    <col min="8" max="9" width="16.6640625" style="221" bestFit="1" customWidth="1"/>
    <col min="10" max="10" width="8.88671875" style="221"/>
    <col min="11" max="11" width="20.5546875" style="221" bestFit="1" customWidth="1"/>
    <col min="12" max="12" width="18.44140625" style="221" bestFit="1" customWidth="1"/>
    <col min="13" max="16384" width="8.88671875" style="221"/>
  </cols>
  <sheetData>
    <row r="1" spans="1:9" ht="21" customHeight="1" thickBot="1">
      <c r="A1" s="898" t="s">
        <v>232</v>
      </c>
      <c r="B1" s="898"/>
      <c r="C1" s="899"/>
      <c r="D1" s="899"/>
      <c r="E1" s="220"/>
      <c r="F1" s="889"/>
      <c r="G1" s="889"/>
      <c r="I1" s="220"/>
    </row>
    <row r="2" spans="1:9" ht="17.25" customHeight="1">
      <c r="A2" s="222" t="s">
        <v>155</v>
      </c>
      <c r="B2" s="223" t="s">
        <v>63</v>
      </c>
      <c r="C2" s="224" t="s">
        <v>234</v>
      </c>
      <c r="D2" s="225" t="s">
        <v>60</v>
      </c>
      <c r="E2" s="226" t="s">
        <v>236</v>
      </c>
      <c r="F2" s="894" t="s">
        <v>243</v>
      </c>
      <c r="G2" s="894"/>
      <c r="H2" s="227" t="s">
        <v>248</v>
      </c>
      <c r="I2" s="227" t="s">
        <v>249</v>
      </c>
    </row>
    <row r="3" spans="1:9" ht="17.25" customHeight="1" thickBot="1">
      <c r="A3" s="900" t="s">
        <v>675</v>
      </c>
      <c r="B3" s="228" t="s">
        <v>156</v>
      </c>
      <c r="C3" s="229" t="s">
        <v>327</v>
      </c>
      <c r="D3" s="230">
        <v>0.3</v>
      </c>
      <c r="E3" s="895">
        <f>COUNTA(C3:C8)*2+1</f>
        <v>13</v>
      </c>
      <c r="F3" s="231" t="s">
        <v>244</v>
      </c>
      <c r="G3" s="232">
        <v>1500000</v>
      </c>
      <c r="H3" s="233">
        <v>150</v>
      </c>
      <c r="I3" s="234">
        <v>1</v>
      </c>
    </row>
    <row r="4" spans="1:9" ht="17.25" customHeight="1" thickBot="1">
      <c r="A4" s="901"/>
      <c r="B4" s="228" t="s">
        <v>157</v>
      </c>
      <c r="C4" s="229" t="s">
        <v>470</v>
      </c>
      <c r="D4" s="230">
        <v>0.1</v>
      </c>
      <c r="E4" s="896"/>
      <c r="F4" s="235" t="s">
        <v>245</v>
      </c>
      <c r="G4" s="236">
        <v>354000</v>
      </c>
      <c r="H4" s="237">
        <v>200</v>
      </c>
      <c r="I4" s="238">
        <v>0.93</v>
      </c>
    </row>
    <row r="5" spans="1:9" ht="17.25" customHeight="1" thickBot="1">
      <c r="A5" s="901"/>
      <c r="B5" s="228" t="s">
        <v>158</v>
      </c>
      <c r="C5" s="229" t="s">
        <v>469</v>
      </c>
      <c r="D5" s="230">
        <v>0.25</v>
      </c>
      <c r="E5" s="896"/>
      <c r="F5" s="235" t="s">
        <v>246</v>
      </c>
      <c r="G5" s="239">
        <f>IF(G3&gt;G4,100%,G3/G4)</f>
        <v>1</v>
      </c>
      <c r="H5" s="240">
        <v>300</v>
      </c>
      <c r="I5" s="238">
        <v>0.86</v>
      </c>
    </row>
    <row r="6" spans="1:9" ht="17.25" customHeight="1" thickBot="1">
      <c r="A6" s="901"/>
      <c r="B6" s="228" t="s">
        <v>159</v>
      </c>
      <c r="C6" s="229" t="s">
        <v>454</v>
      </c>
      <c r="D6" s="230">
        <v>0.1</v>
      </c>
      <c r="E6" s="896"/>
      <c r="F6" s="235" t="s">
        <v>247</v>
      </c>
      <c r="G6" s="241">
        <v>1505779</v>
      </c>
      <c r="H6" s="237">
        <v>500</v>
      </c>
      <c r="I6" s="238">
        <v>0.78</v>
      </c>
    </row>
    <row r="7" spans="1:9" ht="17.25" customHeight="1">
      <c r="A7" s="901"/>
      <c r="B7" s="242" t="s">
        <v>160</v>
      </c>
      <c r="C7" s="229" t="s">
        <v>455</v>
      </c>
      <c r="D7" s="230">
        <v>0.15</v>
      </c>
      <c r="E7" s="896"/>
      <c r="F7" s="235" t="s">
        <v>243</v>
      </c>
      <c r="G7" s="243">
        <f>G6*G5</f>
        <v>1505779</v>
      </c>
      <c r="H7" s="240">
        <v>1000</v>
      </c>
      <c r="I7" s="238">
        <v>0.73</v>
      </c>
    </row>
    <row r="8" spans="1:9" ht="17.25" customHeight="1">
      <c r="A8" s="901"/>
      <c r="B8" s="242" t="s">
        <v>578</v>
      </c>
      <c r="C8" s="229" t="s">
        <v>579</v>
      </c>
      <c r="D8" s="230">
        <v>0.1</v>
      </c>
      <c r="E8" s="896"/>
      <c r="F8" s="244" t="s">
        <v>249</v>
      </c>
      <c r="G8" s="245">
        <f>I9</f>
        <v>1</v>
      </c>
      <c r="H8" s="246">
        <v>2000</v>
      </c>
      <c r="I8" s="247">
        <v>0.71</v>
      </c>
    </row>
    <row r="9" spans="1:9" ht="17.25" customHeight="1" thickBot="1">
      <c r="A9" s="902"/>
      <c r="B9" s="892" t="s">
        <v>251</v>
      </c>
      <c r="C9" s="893"/>
      <c r="D9" s="248">
        <f>SUM(D3:D8)</f>
        <v>1</v>
      </c>
      <c r="E9" s="897"/>
      <c r="F9" s="249" t="s">
        <v>256</v>
      </c>
      <c r="G9" s="250">
        <f>G7/G8</f>
        <v>1505779</v>
      </c>
      <c r="H9" s="251" t="s">
        <v>250</v>
      </c>
      <c r="I9" s="252">
        <f>IF(G4/10000&lt;=H3,I3,IF((G4/10000)&lt;H4,I4+(H4-G4/10000)*((I3-I4)/(H4-H3)),IF(G4/10000&lt;H5,I5+(H5-G4/10000)*((I4-I5)/(H5-H4)),IF(G4/10000&lt;H6,I6+(H6-G4/10000)*((I5-I6)/(H6-H5)),IF(G4/10000&lt;H7,I7+(H7-G4/10000)*((I6-I7)/(H7-H6)),I8)))))</f>
        <v>1</v>
      </c>
    </row>
    <row r="10" spans="1:9" ht="17.25" customHeight="1">
      <c r="A10" s="253" t="s">
        <v>259</v>
      </c>
      <c r="B10" s="254" t="s">
        <v>58</v>
      </c>
      <c r="C10" s="255" t="s">
        <v>172</v>
      </c>
      <c r="D10" s="256" t="s">
        <v>63</v>
      </c>
      <c r="E10" s="256" t="s">
        <v>74</v>
      </c>
      <c r="F10" s="256" t="s">
        <v>75</v>
      </c>
      <c r="G10" s="254" t="s">
        <v>76</v>
      </c>
      <c r="H10" s="254" t="s">
        <v>77</v>
      </c>
      <c r="I10" s="227" t="s">
        <v>78</v>
      </c>
    </row>
    <row r="11" spans="1:9" ht="14.25" customHeight="1">
      <c r="A11" s="890" t="s">
        <v>676</v>
      </c>
      <c r="B11" s="861" t="s">
        <v>317</v>
      </c>
      <c r="C11" s="887">
        <v>3</v>
      </c>
      <c r="D11" s="257" t="s">
        <v>65</v>
      </c>
      <c r="E11" s="257" t="s">
        <v>66</v>
      </c>
      <c r="F11" s="257" t="s">
        <v>67</v>
      </c>
      <c r="G11" s="257" t="s">
        <v>68</v>
      </c>
      <c r="H11" s="258"/>
      <c r="I11" s="258"/>
    </row>
    <row r="12" spans="1:9" ht="14.25" customHeight="1">
      <c r="A12" s="872"/>
      <c r="B12" s="891"/>
      <c r="C12" s="884"/>
      <c r="D12" s="259" t="s">
        <v>59</v>
      </c>
      <c r="E12" s="260">
        <f>C11</f>
        <v>3</v>
      </c>
      <c r="F12" s="260">
        <v>2</v>
      </c>
      <c r="G12" s="260">
        <v>1</v>
      </c>
      <c r="H12" s="261"/>
      <c r="I12" s="261"/>
    </row>
    <row r="13" spans="1:9" ht="14.25" customHeight="1">
      <c r="A13" s="872"/>
      <c r="B13" s="868" t="s">
        <v>312</v>
      </c>
      <c r="C13" s="855">
        <v>2</v>
      </c>
      <c r="D13" s="262" t="s">
        <v>61</v>
      </c>
      <c r="E13" s="262" t="s">
        <v>101</v>
      </c>
      <c r="F13" s="262" t="s">
        <v>103</v>
      </c>
      <c r="G13" s="262" t="s">
        <v>104</v>
      </c>
      <c r="H13" s="262" t="s">
        <v>105</v>
      </c>
      <c r="I13" s="263" t="s">
        <v>106</v>
      </c>
    </row>
    <row r="14" spans="1:9" ht="14.25" customHeight="1">
      <c r="A14" s="872"/>
      <c r="B14" s="869"/>
      <c r="C14" s="857"/>
      <c r="D14" s="259" t="s">
        <v>59</v>
      </c>
      <c r="E14" s="260">
        <f>$C$13</f>
        <v>2</v>
      </c>
      <c r="F14" s="260">
        <f>$C$13*0.8</f>
        <v>1.6</v>
      </c>
      <c r="G14" s="260">
        <f>$C$13*0.6</f>
        <v>1.2</v>
      </c>
      <c r="H14" s="260">
        <f>$C$13*0.4</f>
        <v>0.8</v>
      </c>
      <c r="I14" s="260">
        <f>$C$13*0.2</f>
        <v>0.4</v>
      </c>
    </row>
    <row r="15" spans="1:9" ht="14.25" customHeight="1">
      <c r="A15" s="872"/>
      <c r="B15" s="868" t="s">
        <v>313</v>
      </c>
      <c r="C15" s="855">
        <v>1</v>
      </c>
      <c r="D15" s="262" t="s">
        <v>61</v>
      </c>
      <c r="E15" s="262" t="s">
        <v>101</v>
      </c>
      <c r="F15" s="262" t="s">
        <v>103</v>
      </c>
      <c r="G15" s="262" t="s">
        <v>104</v>
      </c>
      <c r="H15" s="262" t="s">
        <v>105</v>
      </c>
      <c r="I15" s="263" t="s">
        <v>106</v>
      </c>
    </row>
    <row r="16" spans="1:9" ht="14.25" customHeight="1">
      <c r="A16" s="888"/>
      <c r="B16" s="869"/>
      <c r="C16" s="857"/>
      <c r="D16" s="259" t="s">
        <v>59</v>
      </c>
      <c r="E16" s="260">
        <f>$C$15</f>
        <v>1</v>
      </c>
      <c r="F16" s="260">
        <f>$C$15*0.8</f>
        <v>0.8</v>
      </c>
      <c r="G16" s="260">
        <f>$C$15*0.6</f>
        <v>0.6</v>
      </c>
      <c r="H16" s="260">
        <f>$C$15*0.4</f>
        <v>0.4</v>
      </c>
      <c r="I16" s="260">
        <f>$C$15*0.2</f>
        <v>0.2</v>
      </c>
    </row>
    <row r="17" spans="1:10" ht="14.25" customHeight="1">
      <c r="A17" s="863" t="s">
        <v>677</v>
      </c>
      <c r="B17" s="868" t="s">
        <v>79</v>
      </c>
      <c r="C17" s="855">
        <v>4</v>
      </c>
      <c r="D17" s="262" t="s">
        <v>65</v>
      </c>
      <c r="E17" s="262" t="s">
        <v>66</v>
      </c>
      <c r="F17" s="262" t="s">
        <v>67</v>
      </c>
      <c r="G17" s="262" t="s">
        <v>68</v>
      </c>
      <c r="H17" s="264"/>
      <c r="I17" s="264"/>
    </row>
    <row r="18" spans="1:10" ht="14.25" customHeight="1">
      <c r="A18" s="864"/>
      <c r="B18" s="870"/>
      <c r="C18" s="856"/>
      <c r="D18" s="259" t="s">
        <v>59</v>
      </c>
      <c r="E18" s="265">
        <f>C17</f>
        <v>4</v>
      </c>
      <c r="F18" s="265">
        <v>4</v>
      </c>
      <c r="G18" s="265">
        <v>3</v>
      </c>
      <c r="H18" s="264"/>
      <c r="I18" s="264"/>
    </row>
    <row r="19" spans="1:10" ht="14.25" customHeight="1">
      <c r="A19" s="864"/>
      <c r="B19" s="870"/>
      <c r="C19" s="856"/>
      <c r="D19" s="259" t="str">
        <f t="shared" ref="D19:D24" si="0">C3</f>
        <v>도시계획</v>
      </c>
      <c r="E19" s="266">
        <f>E18*$D$3</f>
        <v>1.2</v>
      </c>
      <c r="F19" s="266">
        <f>F18*$D$3</f>
        <v>1.2</v>
      </c>
      <c r="G19" s="266">
        <f>G18*$D$3</f>
        <v>0.89999999999999991</v>
      </c>
      <c r="H19" s="264"/>
      <c r="I19" s="264"/>
    </row>
    <row r="20" spans="1:10" ht="14.25" customHeight="1">
      <c r="A20" s="864"/>
      <c r="B20" s="870"/>
      <c r="C20" s="856"/>
      <c r="D20" s="259" t="str">
        <f t="shared" si="0"/>
        <v>토질지질</v>
      </c>
      <c r="E20" s="266">
        <f>E18*$D$4</f>
        <v>0.4</v>
      </c>
      <c r="F20" s="266">
        <f>F18*$D$4</f>
        <v>0.4</v>
      </c>
      <c r="G20" s="266">
        <f>G18*$D$4</f>
        <v>0.30000000000000004</v>
      </c>
      <c r="H20" s="264"/>
      <c r="I20" s="264"/>
    </row>
    <row r="21" spans="1:10" ht="14.25" customHeight="1">
      <c r="A21" s="864"/>
      <c r="B21" s="870"/>
      <c r="C21" s="856"/>
      <c r="D21" s="259" t="str">
        <f t="shared" si="0"/>
        <v>도로공항</v>
      </c>
      <c r="E21" s="266">
        <f>E18*$D$5</f>
        <v>1</v>
      </c>
      <c r="F21" s="266">
        <f>F18*$D$5</f>
        <v>1</v>
      </c>
      <c r="G21" s="266">
        <f>G18*$D$5</f>
        <v>0.75</v>
      </c>
      <c r="H21" s="264"/>
      <c r="I21" s="264"/>
    </row>
    <row r="22" spans="1:10" ht="14.25" customHeight="1">
      <c r="A22" s="864"/>
      <c r="B22" s="870"/>
      <c r="C22" s="856"/>
      <c r="D22" s="259" t="str">
        <f t="shared" si="0"/>
        <v>토목구조</v>
      </c>
      <c r="E22" s="266">
        <f>E18*$D$6</f>
        <v>0.4</v>
      </c>
      <c r="F22" s="266">
        <f>F18*$D$6</f>
        <v>0.4</v>
      </c>
      <c r="G22" s="266">
        <f>G18*$D$6</f>
        <v>0.30000000000000004</v>
      </c>
      <c r="H22" s="264"/>
      <c r="I22" s="264"/>
    </row>
    <row r="23" spans="1:10" ht="14.25" customHeight="1">
      <c r="A23" s="864"/>
      <c r="B23" s="870"/>
      <c r="C23" s="856"/>
      <c r="D23" s="259" t="str">
        <f t="shared" si="0"/>
        <v>상하수도</v>
      </c>
      <c r="E23" s="266">
        <f>E18*$D$7</f>
        <v>0.6</v>
      </c>
      <c r="F23" s="266">
        <f>F18*$D$7</f>
        <v>0.6</v>
      </c>
      <c r="G23" s="266">
        <f>G18*$D$7</f>
        <v>0.44999999999999996</v>
      </c>
      <c r="H23" s="264"/>
      <c r="I23" s="264"/>
    </row>
    <row r="24" spans="1:10" ht="14.25" customHeight="1">
      <c r="A24" s="267"/>
      <c r="B24" s="268"/>
      <c r="C24" s="857"/>
      <c r="D24" s="259" t="str">
        <f t="shared" si="0"/>
        <v>조경</v>
      </c>
      <c r="E24" s="266">
        <f>E18*$D$8</f>
        <v>0.4</v>
      </c>
      <c r="F24" s="266">
        <f>F18*$D$8</f>
        <v>0.4</v>
      </c>
      <c r="G24" s="266">
        <f>G18*$D$8</f>
        <v>0.30000000000000004</v>
      </c>
      <c r="H24" s="264"/>
      <c r="I24" s="264"/>
    </row>
    <row r="25" spans="1:10" ht="14.25" customHeight="1">
      <c r="A25" s="863" t="s">
        <v>678</v>
      </c>
      <c r="B25" s="868" t="s">
        <v>79</v>
      </c>
      <c r="C25" s="855">
        <v>4</v>
      </c>
      <c r="D25" s="262" t="s">
        <v>65</v>
      </c>
      <c r="E25" s="262" t="s">
        <v>66</v>
      </c>
      <c r="F25" s="262" t="s">
        <v>67</v>
      </c>
      <c r="G25" s="262" t="s">
        <v>68</v>
      </c>
      <c r="H25" s="264"/>
      <c r="I25" s="264"/>
      <c r="J25" s="221" t="s">
        <v>336</v>
      </c>
    </row>
    <row r="26" spans="1:10" ht="14.25" customHeight="1">
      <c r="A26" s="864"/>
      <c r="B26" s="870"/>
      <c r="C26" s="856"/>
      <c r="D26" s="259" t="s">
        <v>59</v>
      </c>
      <c r="E26" s="265">
        <f>C25</f>
        <v>4</v>
      </c>
      <c r="F26" s="265">
        <f>C25</f>
        <v>4</v>
      </c>
      <c r="G26" s="265">
        <v>4</v>
      </c>
      <c r="H26" s="264"/>
      <c r="I26" s="264"/>
    </row>
    <row r="27" spans="1:10" ht="14.25" customHeight="1">
      <c r="A27" s="864"/>
      <c r="B27" s="870"/>
      <c r="C27" s="856"/>
      <c r="D27" s="259" t="str">
        <f t="shared" ref="D27:D32" si="1">D19</f>
        <v>도시계획</v>
      </c>
      <c r="E27" s="266">
        <f>E26*$D$3</f>
        <v>1.2</v>
      </c>
      <c r="F27" s="266">
        <f>F26*$D$3</f>
        <v>1.2</v>
      </c>
      <c r="G27" s="266">
        <f>G26*$D$3</f>
        <v>1.2</v>
      </c>
      <c r="H27" s="264"/>
      <c r="I27" s="264"/>
    </row>
    <row r="28" spans="1:10" ht="14.25" customHeight="1">
      <c r="A28" s="864"/>
      <c r="B28" s="870"/>
      <c r="C28" s="856"/>
      <c r="D28" s="259" t="str">
        <f t="shared" si="1"/>
        <v>토질지질</v>
      </c>
      <c r="E28" s="266">
        <f>E26*$D$4</f>
        <v>0.4</v>
      </c>
      <c r="F28" s="266">
        <f>F26*$D$4</f>
        <v>0.4</v>
      </c>
      <c r="G28" s="266">
        <f>G26*$D$4</f>
        <v>0.4</v>
      </c>
      <c r="H28" s="264"/>
      <c r="I28" s="264"/>
    </row>
    <row r="29" spans="1:10" ht="14.25" customHeight="1">
      <c r="A29" s="864"/>
      <c r="B29" s="870"/>
      <c r="C29" s="856"/>
      <c r="D29" s="259" t="str">
        <f t="shared" si="1"/>
        <v>도로공항</v>
      </c>
      <c r="E29" s="266">
        <f>E26*$D$5</f>
        <v>1</v>
      </c>
      <c r="F29" s="266">
        <f>F26*$D$5</f>
        <v>1</v>
      </c>
      <c r="G29" s="266">
        <f>G26*$D$5</f>
        <v>1</v>
      </c>
      <c r="H29" s="264"/>
      <c r="I29" s="264"/>
    </row>
    <row r="30" spans="1:10" ht="14.25" customHeight="1">
      <c r="A30" s="864"/>
      <c r="B30" s="870"/>
      <c r="C30" s="856"/>
      <c r="D30" s="259" t="str">
        <f t="shared" si="1"/>
        <v>토목구조</v>
      </c>
      <c r="E30" s="266">
        <f>E26*$D$6</f>
        <v>0.4</v>
      </c>
      <c r="F30" s="266">
        <f>F26*$D$6</f>
        <v>0.4</v>
      </c>
      <c r="G30" s="266">
        <f>G26*$D$6</f>
        <v>0.4</v>
      </c>
      <c r="H30" s="264"/>
      <c r="I30" s="264"/>
    </row>
    <row r="31" spans="1:10" ht="14.25" customHeight="1">
      <c r="A31" s="864"/>
      <c r="B31" s="870"/>
      <c r="C31" s="856"/>
      <c r="D31" s="259" t="str">
        <f t="shared" si="1"/>
        <v>상하수도</v>
      </c>
      <c r="E31" s="266">
        <f>E26*$D$7</f>
        <v>0.6</v>
      </c>
      <c r="F31" s="266">
        <f>F26*$D$7</f>
        <v>0.6</v>
      </c>
      <c r="G31" s="266">
        <f>G26*$D$7</f>
        <v>0.6</v>
      </c>
      <c r="H31" s="264"/>
      <c r="I31" s="264"/>
    </row>
    <row r="32" spans="1:10" ht="14.25" customHeight="1">
      <c r="A32" s="267"/>
      <c r="B32" s="268"/>
      <c r="C32" s="857"/>
      <c r="D32" s="259" t="str">
        <f t="shared" si="1"/>
        <v>조경</v>
      </c>
      <c r="E32" s="266">
        <f>E26*$D$8</f>
        <v>0.4</v>
      </c>
      <c r="F32" s="266">
        <f>F26*$D$8</f>
        <v>0.4</v>
      </c>
      <c r="G32" s="266">
        <f>G26*$D$8</f>
        <v>0.4</v>
      </c>
      <c r="H32" s="264"/>
      <c r="I32" s="264"/>
    </row>
    <row r="33" spans="1:9" ht="14.25" customHeight="1">
      <c r="A33" s="863" t="s">
        <v>676</v>
      </c>
      <c r="B33" s="891" t="s">
        <v>314</v>
      </c>
      <c r="C33" s="884">
        <v>4</v>
      </c>
      <c r="D33" s="262" t="s">
        <v>69</v>
      </c>
      <c r="E33" s="269">
        <v>15</v>
      </c>
      <c r="F33" s="269">
        <v>13</v>
      </c>
      <c r="G33" s="269">
        <v>11</v>
      </c>
      <c r="H33" s="269">
        <v>9</v>
      </c>
      <c r="I33" s="270">
        <v>9</v>
      </c>
    </row>
    <row r="34" spans="1:9" ht="14.25" customHeight="1">
      <c r="A34" s="864"/>
      <c r="B34" s="891"/>
      <c r="C34" s="884"/>
      <c r="D34" s="259" t="s">
        <v>59</v>
      </c>
      <c r="E34" s="271">
        <f>$C$33*1</f>
        <v>4</v>
      </c>
      <c r="F34" s="260">
        <f>$C$33*0.9</f>
        <v>3.6</v>
      </c>
      <c r="G34" s="260">
        <f>$C$33*0.8</f>
        <v>3.2</v>
      </c>
      <c r="H34" s="260">
        <f>$C$33*0.7</f>
        <v>2.8</v>
      </c>
      <c r="I34" s="260">
        <f>$C$33*0.6</f>
        <v>2.4</v>
      </c>
    </row>
    <row r="35" spans="1:9" ht="14.25" customHeight="1">
      <c r="A35" s="864"/>
      <c r="B35" s="891" t="s">
        <v>315</v>
      </c>
      <c r="C35" s="884">
        <v>5</v>
      </c>
      <c r="D35" s="262" t="s">
        <v>70</v>
      </c>
      <c r="E35" s="272">
        <v>8</v>
      </c>
      <c r="F35" s="272">
        <v>7</v>
      </c>
      <c r="G35" s="272">
        <v>6</v>
      </c>
      <c r="H35" s="272">
        <v>5</v>
      </c>
      <c r="I35" s="273">
        <v>5</v>
      </c>
    </row>
    <row r="36" spans="1:9" ht="14.25" customHeight="1">
      <c r="A36" s="864"/>
      <c r="B36" s="891"/>
      <c r="C36" s="884"/>
      <c r="D36" s="259" t="s">
        <v>59</v>
      </c>
      <c r="E36" s="271">
        <f>$C$35*1</f>
        <v>5</v>
      </c>
      <c r="F36" s="271">
        <f>$C$35*0.9</f>
        <v>4.5</v>
      </c>
      <c r="G36" s="271">
        <f>$C$35*0.8</f>
        <v>4</v>
      </c>
      <c r="H36" s="271">
        <f>$C$35*0.7</f>
        <v>3.5</v>
      </c>
      <c r="I36" s="274">
        <f>$C$35*0.6</f>
        <v>3</v>
      </c>
    </row>
    <row r="37" spans="1:9" ht="14.25" customHeight="1">
      <c r="A37" s="864"/>
      <c r="B37" s="868" t="s">
        <v>316</v>
      </c>
      <c r="C37" s="858">
        <v>1</v>
      </c>
      <c r="D37" s="262" t="s">
        <v>95</v>
      </c>
      <c r="E37" s="262" t="s">
        <v>252</v>
      </c>
      <c r="F37" s="262" t="s">
        <v>253</v>
      </c>
      <c r="G37" s="868" t="s">
        <v>254</v>
      </c>
      <c r="H37" s="263" t="s">
        <v>676</v>
      </c>
      <c r="I37" s="275">
        <v>1</v>
      </c>
    </row>
    <row r="38" spans="1:9" ht="14.25" customHeight="1">
      <c r="A38" s="865"/>
      <c r="B38" s="869"/>
      <c r="C38" s="858"/>
      <c r="D38" s="276" t="s">
        <v>60</v>
      </c>
      <c r="E38" s="277">
        <v>1</v>
      </c>
      <c r="F38" s="278">
        <v>0.5</v>
      </c>
      <c r="G38" s="869"/>
      <c r="H38" s="263" t="s">
        <v>679</v>
      </c>
      <c r="I38" s="275">
        <v>0.7</v>
      </c>
    </row>
    <row r="39" spans="1:9" ht="14.25" customHeight="1">
      <c r="A39" s="863" t="s">
        <v>677</v>
      </c>
      <c r="B39" s="868" t="s">
        <v>80</v>
      </c>
      <c r="C39" s="855">
        <v>7</v>
      </c>
      <c r="D39" s="262" t="s">
        <v>69</v>
      </c>
      <c r="E39" s="269">
        <v>10</v>
      </c>
      <c r="F39" s="269">
        <v>8</v>
      </c>
      <c r="G39" s="269">
        <v>6</v>
      </c>
      <c r="H39" s="269">
        <v>4</v>
      </c>
      <c r="I39" s="270">
        <v>4</v>
      </c>
    </row>
    <row r="40" spans="1:9" ht="14.25" customHeight="1">
      <c r="A40" s="864"/>
      <c r="B40" s="870"/>
      <c r="C40" s="856"/>
      <c r="D40" s="259" t="s">
        <v>59</v>
      </c>
      <c r="E40" s="265">
        <f>C39</f>
        <v>7</v>
      </c>
      <c r="F40" s="265">
        <f>$C$39*0.9</f>
        <v>6.3</v>
      </c>
      <c r="G40" s="265">
        <f>$C$39*0.8</f>
        <v>5.6000000000000005</v>
      </c>
      <c r="H40" s="265">
        <f>$C$39*0.7</f>
        <v>4.8999999999999995</v>
      </c>
      <c r="I40" s="279">
        <f>$C$39*0.6</f>
        <v>4.2</v>
      </c>
    </row>
    <row r="41" spans="1:9" ht="14.25" customHeight="1">
      <c r="A41" s="864"/>
      <c r="B41" s="870"/>
      <c r="C41" s="856"/>
      <c r="D41" s="259" t="str">
        <f t="shared" ref="D41:D46" si="2">D19</f>
        <v>도시계획</v>
      </c>
      <c r="E41" s="266">
        <f>E40*$D$3</f>
        <v>2.1</v>
      </c>
      <c r="F41" s="266">
        <f>F40*$D$3</f>
        <v>1.89</v>
      </c>
      <c r="G41" s="266">
        <f>G40*$D$3</f>
        <v>1.6800000000000002</v>
      </c>
      <c r="H41" s="266">
        <f>H40*$D$3</f>
        <v>1.4699999999999998</v>
      </c>
      <c r="I41" s="280">
        <f>I40*$D$3</f>
        <v>1.26</v>
      </c>
    </row>
    <row r="42" spans="1:9" ht="14.25" customHeight="1">
      <c r="A42" s="864"/>
      <c r="B42" s="870"/>
      <c r="C42" s="856"/>
      <c r="D42" s="276" t="str">
        <f t="shared" si="2"/>
        <v>토질지질</v>
      </c>
      <c r="E42" s="266">
        <f>E40*$D$4</f>
        <v>0.70000000000000007</v>
      </c>
      <c r="F42" s="266">
        <f>F40*$D$4</f>
        <v>0.63</v>
      </c>
      <c r="G42" s="266">
        <f>G40*$D$4</f>
        <v>0.56000000000000005</v>
      </c>
      <c r="H42" s="266">
        <f>H40*$D$4</f>
        <v>0.49</v>
      </c>
      <c r="I42" s="280">
        <f>I40*$D$4</f>
        <v>0.42000000000000004</v>
      </c>
    </row>
    <row r="43" spans="1:9" ht="14.25" customHeight="1">
      <c r="A43" s="864"/>
      <c r="B43" s="870"/>
      <c r="C43" s="856"/>
      <c r="D43" s="276" t="str">
        <f t="shared" si="2"/>
        <v>도로공항</v>
      </c>
      <c r="E43" s="266">
        <f>E40*$D$5</f>
        <v>1.75</v>
      </c>
      <c r="F43" s="266">
        <f>F40*$D$5</f>
        <v>1.575</v>
      </c>
      <c r="G43" s="266">
        <f>G40*$D$5</f>
        <v>1.4000000000000001</v>
      </c>
      <c r="H43" s="266">
        <f>H40*$D$5</f>
        <v>1.2249999999999999</v>
      </c>
      <c r="I43" s="280">
        <f>I40*$D$5</f>
        <v>1.05</v>
      </c>
    </row>
    <row r="44" spans="1:9" ht="14.25" customHeight="1">
      <c r="A44" s="864"/>
      <c r="B44" s="870"/>
      <c r="C44" s="856"/>
      <c r="D44" s="276" t="str">
        <f t="shared" si="2"/>
        <v>토목구조</v>
      </c>
      <c r="E44" s="266">
        <f>E40*$D$6</f>
        <v>0.70000000000000007</v>
      </c>
      <c r="F44" s="266">
        <f>F40*$D$6</f>
        <v>0.63</v>
      </c>
      <c r="G44" s="266">
        <f>G40*$D$6</f>
        <v>0.56000000000000005</v>
      </c>
      <c r="H44" s="266">
        <f>H40*$D$6</f>
        <v>0.49</v>
      </c>
      <c r="I44" s="280">
        <f>I40*$D$6</f>
        <v>0.42000000000000004</v>
      </c>
    </row>
    <row r="45" spans="1:9" ht="14.25" customHeight="1">
      <c r="A45" s="864"/>
      <c r="B45" s="870"/>
      <c r="C45" s="856"/>
      <c r="D45" s="276" t="str">
        <f t="shared" si="2"/>
        <v>상하수도</v>
      </c>
      <c r="E45" s="266">
        <f>E40*$D$7</f>
        <v>1.05</v>
      </c>
      <c r="F45" s="266">
        <f>F40*$D$7</f>
        <v>0.94499999999999995</v>
      </c>
      <c r="G45" s="266">
        <f>G40*$D$7</f>
        <v>0.84000000000000008</v>
      </c>
      <c r="H45" s="266">
        <f>H40*$D$7</f>
        <v>0.73499999999999988</v>
      </c>
      <c r="I45" s="280">
        <f>I40*$D$7</f>
        <v>0.63</v>
      </c>
    </row>
    <row r="46" spans="1:9" ht="14.25" customHeight="1">
      <c r="A46" s="864"/>
      <c r="B46" s="869"/>
      <c r="C46" s="857"/>
      <c r="D46" s="276" t="str">
        <f t="shared" si="2"/>
        <v>조경</v>
      </c>
      <c r="E46" s="266">
        <f>E40*$D$8</f>
        <v>0.70000000000000007</v>
      </c>
      <c r="F46" s="266">
        <f>F40*$D$8</f>
        <v>0.63</v>
      </c>
      <c r="G46" s="266">
        <f>G40*$D$8</f>
        <v>0.56000000000000005</v>
      </c>
      <c r="H46" s="266">
        <f>H40*$D$8</f>
        <v>0.49</v>
      </c>
      <c r="I46" s="280">
        <f>I40*$D$8</f>
        <v>0.42000000000000004</v>
      </c>
    </row>
    <row r="47" spans="1:9" ht="14.25" customHeight="1">
      <c r="A47" s="864"/>
      <c r="B47" s="868" t="s">
        <v>147</v>
      </c>
      <c r="C47" s="855">
        <v>8</v>
      </c>
      <c r="D47" s="262" t="s">
        <v>70</v>
      </c>
      <c r="E47" s="272">
        <v>6</v>
      </c>
      <c r="F47" s="272">
        <v>5</v>
      </c>
      <c r="G47" s="272">
        <v>4</v>
      </c>
      <c r="H47" s="272">
        <v>3</v>
      </c>
      <c r="I47" s="273">
        <v>3</v>
      </c>
    </row>
    <row r="48" spans="1:9" ht="14.25" customHeight="1">
      <c r="A48" s="864"/>
      <c r="B48" s="870"/>
      <c r="C48" s="856"/>
      <c r="D48" s="259" t="s">
        <v>59</v>
      </c>
      <c r="E48" s="265">
        <f>C47</f>
        <v>8</v>
      </c>
      <c r="F48" s="265">
        <f>$C$47*0.9</f>
        <v>7.2</v>
      </c>
      <c r="G48" s="265">
        <f>$C$47*0.8</f>
        <v>6.4</v>
      </c>
      <c r="H48" s="265">
        <f>$C$47*0.7</f>
        <v>5.6</v>
      </c>
      <c r="I48" s="279">
        <f>$C$47*0.6</f>
        <v>4.8</v>
      </c>
    </row>
    <row r="49" spans="1:9" ht="14.25" customHeight="1">
      <c r="A49" s="864"/>
      <c r="B49" s="870"/>
      <c r="C49" s="856"/>
      <c r="D49" s="276" t="str">
        <f t="shared" ref="D49:D54" si="3">D19</f>
        <v>도시계획</v>
      </c>
      <c r="E49" s="266">
        <f>E48*$D$3</f>
        <v>2.4</v>
      </c>
      <c r="F49" s="266">
        <f>F48*$D$3</f>
        <v>2.16</v>
      </c>
      <c r="G49" s="266">
        <f>G48*$D$3</f>
        <v>1.92</v>
      </c>
      <c r="H49" s="266">
        <f>H48*$D$3</f>
        <v>1.68</v>
      </c>
      <c r="I49" s="280">
        <f>I48*$D$3</f>
        <v>1.44</v>
      </c>
    </row>
    <row r="50" spans="1:9" ht="14.25" customHeight="1">
      <c r="A50" s="864"/>
      <c r="B50" s="870"/>
      <c r="C50" s="856"/>
      <c r="D50" s="276" t="str">
        <f t="shared" si="3"/>
        <v>토질지질</v>
      </c>
      <c r="E50" s="266">
        <f>E48*$D$4</f>
        <v>0.8</v>
      </c>
      <c r="F50" s="266">
        <f>F48*$D$4</f>
        <v>0.72000000000000008</v>
      </c>
      <c r="G50" s="266">
        <f>G48*$D$4</f>
        <v>0.64000000000000012</v>
      </c>
      <c r="H50" s="266">
        <f>H48*$D$4</f>
        <v>0.55999999999999994</v>
      </c>
      <c r="I50" s="280">
        <f>I48*$D$4</f>
        <v>0.48</v>
      </c>
    </row>
    <row r="51" spans="1:9" ht="14.25" customHeight="1">
      <c r="A51" s="864"/>
      <c r="B51" s="870"/>
      <c r="C51" s="856"/>
      <c r="D51" s="276" t="str">
        <f t="shared" si="3"/>
        <v>도로공항</v>
      </c>
      <c r="E51" s="266">
        <f>E48*$D$5</f>
        <v>2</v>
      </c>
      <c r="F51" s="266">
        <f>F48*$D$5</f>
        <v>1.8</v>
      </c>
      <c r="G51" s="266">
        <f>G48*$D$5</f>
        <v>1.6</v>
      </c>
      <c r="H51" s="266">
        <f>H48*$D$5</f>
        <v>1.4</v>
      </c>
      <c r="I51" s="280">
        <f>I48*$D$5</f>
        <v>1.2</v>
      </c>
    </row>
    <row r="52" spans="1:9" ht="14.25" customHeight="1">
      <c r="A52" s="864"/>
      <c r="B52" s="870"/>
      <c r="C52" s="856"/>
      <c r="D52" s="276" t="str">
        <f t="shared" si="3"/>
        <v>토목구조</v>
      </c>
      <c r="E52" s="266">
        <f>E48*$D$6</f>
        <v>0.8</v>
      </c>
      <c r="F52" s="266">
        <f>F48*$D$6</f>
        <v>0.72000000000000008</v>
      </c>
      <c r="G52" s="266">
        <f>G48*$D$6</f>
        <v>0.64000000000000012</v>
      </c>
      <c r="H52" s="266">
        <f>H48*$D$6</f>
        <v>0.55999999999999994</v>
      </c>
      <c r="I52" s="280">
        <f>I48*$D$6</f>
        <v>0.48</v>
      </c>
    </row>
    <row r="53" spans="1:9" ht="14.25" customHeight="1">
      <c r="A53" s="864"/>
      <c r="B53" s="870"/>
      <c r="C53" s="856"/>
      <c r="D53" s="276" t="str">
        <f t="shared" si="3"/>
        <v>상하수도</v>
      </c>
      <c r="E53" s="266">
        <f>E48*$D$7</f>
        <v>1.2</v>
      </c>
      <c r="F53" s="266">
        <f>F48*$D$7</f>
        <v>1.08</v>
      </c>
      <c r="G53" s="266">
        <f>G48*$D$7</f>
        <v>0.96</v>
      </c>
      <c r="H53" s="266">
        <f>H48*$D$7</f>
        <v>0.84</v>
      </c>
      <c r="I53" s="280">
        <f>I48*$D$7</f>
        <v>0.72</v>
      </c>
    </row>
    <row r="54" spans="1:9" ht="14.25" customHeight="1">
      <c r="A54" s="865"/>
      <c r="B54" s="869"/>
      <c r="C54" s="857"/>
      <c r="D54" s="276" t="str">
        <f t="shared" si="3"/>
        <v>조경</v>
      </c>
      <c r="E54" s="266">
        <f>E48*$D$8</f>
        <v>0.8</v>
      </c>
      <c r="F54" s="266">
        <f t="shared" ref="F54:I54" si="4">F48*$D$8</f>
        <v>0.72000000000000008</v>
      </c>
      <c r="G54" s="266">
        <f t="shared" si="4"/>
        <v>0.64000000000000012</v>
      </c>
      <c r="H54" s="266">
        <f t="shared" si="4"/>
        <v>0.55999999999999994</v>
      </c>
      <c r="I54" s="266">
        <f t="shared" si="4"/>
        <v>0.48</v>
      </c>
    </row>
    <row r="55" spans="1:9" ht="14.25" customHeight="1">
      <c r="A55" s="863" t="s">
        <v>678</v>
      </c>
      <c r="B55" s="868" t="s">
        <v>80</v>
      </c>
      <c r="C55" s="855">
        <v>5</v>
      </c>
      <c r="D55" s="262" t="s">
        <v>69</v>
      </c>
      <c r="E55" s="269">
        <v>5</v>
      </c>
      <c r="F55" s="269">
        <v>4</v>
      </c>
      <c r="G55" s="269">
        <v>3</v>
      </c>
      <c r="H55" s="269">
        <v>2</v>
      </c>
      <c r="I55" s="270">
        <v>2</v>
      </c>
    </row>
    <row r="56" spans="1:9" ht="14.25" customHeight="1">
      <c r="A56" s="864"/>
      <c r="B56" s="870"/>
      <c r="C56" s="856"/>
      <c r="D56" s="259" t="s">
        <v>59</v>
      </c>
      <c r="E56" s="265">
        <f>C55</f>
        <v>5</v>
      </c>
      <c r="F56" s="265">
        <f>$C$55*0.9</f>
        <v>4.5</v>
      </c>
      <c r="G56" s="265">
        <f>$C$55*0.8</f>
        <v>4</v>
      </c>
      <c r="H56" s="265">
        <f>$C$55*0.7</f>
        <v>3.5</v>
      </c>
      <c r="I56" s="279">
        <f>$C$55*0.6</f>
        <v>3</v>
      </c>
    </row>
    <row r="57" spans="1:9" ht="14.25" customHeight="1">
      <c r="A57" s="864"/>
      <c r="B57" s="870"/>
      <c r="C57" s="856"/>
      <c r="D57" s="259" t="str">
        <f t="shared" ref="D57:D62" si="5">D27</f>
        <v>도시계획</v>
      </c>
      <c r="E57" s="266">
        <f>E56*$D$3</f>
        <v>1.5</v>
      </c>
      <c r="F57" s="266">
        <f>F56*$D$3</f>
        <v>1.3499999999999999</v>
      </c>
      <c r="G57" s="266">
        <f>G56*$D$3</f>
        <v>1.2</v>
      </c>
      <c r="H57" s="266">
        <f>H56*$D$3</f>
        <v>1.05</v>
      </c>
      <c r="I57" s="280">
        <f>I56*$D$3</f>
        <v>0.89999999999999991</v>
      </c>
    </row>
    <row r="58" spans="1:9" ht="14.25" customHeight="1">
      <c r="A58" s="864"/>
      <c r="B58" s="870"/>
      <c r="C58" s="856"/>
      <c r="D58" s="276" t="str">
        <f t="shared" si="5"/>
        <v>토질지질</v>
      </c>
      <c r="E58" s="266">
        <f>E56*$D$4</f>
        <v>0.5</v>
      </c>
      <c r="F58" s="266">
        <f>F56*$D$4</f>
        <v>0.45</v>
      </c>
      <c r="G58" s="266">
        <f>G56*$D$4</f>
        <v>0.4</v>
      </c>
      <c r="H58" s="266">
        <f>H56*$D$4</f>
        <v>0.35000000000000003</v>
      </c>
      <c r="I58" s="280">
        <f>I56*$D$4</f>
        <v>0.30000000000000004</v>
      </c>
    </row>
    <row r="59" spans="1:9" ht="14.25" customHeight="1">
      <c r="A59" s="864"/>
      <c r="B59" s="870"/>
      <c r="C59" s="856"/>
      <c r="D59" s="276" t="str">
        <f t="shared" si="5"/>
        <v>도로공항</v>
      </c>
      <c r="E59" s="266">
        <f>E56*$D$5</f>
        <v>1.25</v>
      </c>
      <c r="F59" s="266">
        <f>F56*$D$5</f>
        <v>1.125</v>
      </c>
      <c r="G59" s="266">
        <f>G56*$D$5</f>
        <v>1</v>
      </c>
      <c r="H59" s="266">
        <f>H56*$D$5</f>
        <v>0.875</v>
      </c>
      <c r="I59" s="280">
        <f>I56*$D$5</f>
        <v>0.75</v>
      </c>
    </row>
    <row r="60" spans="1:9" ht="14.25" customHeight="1">
      <c r="A60" s="864"/>
      <c r="B60" s="870"/>
      <c r="C60" s="856"/>
      <c r="D60" s="276" t="str">
        <f t="shared" si="5"/>
        <v>토목구조</v>
      </c>
      <c r="E60" s="266">
        <f>E56*$D$6</f>
        <v>0.5</v>
      </c>
      <c r="F60" s="266">
        <f>F56*$D$6</f>
        <v>0.45</v>
      </c>
      <c r="G60" s="266">
        <f>G56*$D$6</f>
        <v>0.4</v>
      </c>
      <c r="H60" s="266">
        <f>H56*$D$6</f>
        <v>0.35000000000000003</v>
      </c>
      <c r="I60" s="280">
        <f>I56*$D$6</f>
        <v>0.30000000000000004</v>
      </c>
    </row>
    <row r="61" spans="1:9" ht="14.25" customHeight="1">
      <c r="A61" s="864"/>
      <c r="B61" s="870"/>
      <c r="C61" s="856"/>
      <c r="D61" s="276" t="str">
        <f t="shared" si="5"/>
        <v>상하수도</v>
      </c>
      <c r="E61" s="266">
        <f>E56*$D$7</f>
        <v>0.75</v>
      </c>
      <c r="F61" s="266">
        <f>F56*$D$7</f>
        <v>0.67499999999999993</v>
      </c>
      <c r="G61" s="266">
        <f>G56*$D$7</f>
        <v>0.6</v>
      </c>
      <c r="H61" s="266">
        <f>H56*$D$7</f>
        <v>0.52500000000000002</v>
      </c>
      <c r="I61" s="280">
        <f>I56*$D$7</f>
        <v>0.44999999999999996</v>
      </c>
    </row>
    <row r="62" spans="1:9" ht="14.25" customHeight="1">
      <c r="A62" s="864"/>
      <c r="B62" s="869"/>
      <c r="C62" s="857"/>
      <c r="D62" s="276" t="str">
        <f t="shared" si="5"/>
        <v>조경</v>
      </c>
      <c r="E62" s="266">
        <f>E56*$D$8</f>
        <v>0.5</v>
      </c>
      <c r="F62" s="266">
        <f t="shared" ref="F62:I62" si="6">F56*$D$8</f>
        <v>0.45</v>
      </c>
      <c r="G62" s="266">
        <f t="shared" si="6"/>
        <v>0.4</v>
      </c>
      <c r="H62" s="266">
        <f t="shared" si="6"/>
        <v>0.35000000000000003</v>
      </c>
      <c r="I62" s="266">
        <f t="shared" si="6"/>
        <v>0.30000000000000004</v>
      </c>
    </row>
    <row r="63" spans="1:9" ht="14.25" customHeight="1">
      <c r="A63" s="864"/>
      <c r="B63" s="868" t="s">
        <v>147</v>
      </c>
      <c r="C63" s="855">
        <v>5</v>
      </c>
      <c r="D63" s="262" t="s">
        <v>70</v>
      </c>
      <c r="E63" s="272">
        <v>5</v>
      </c>
      <c r="F63" s="272">
        <v>4</v>
      </c>
      <c r="G63" s="272">
        <v>3</v>
      </c>
      <c r="H63" s="272">
        <v>2</v>
      </c>
      <c r="I63" s="273">
        <v>2</v>
      </c>
    </row>
    <row r="64" spans="1:9" ht="14.25" customHeight="1">
      <c r="A64" s="864"/>
      <c r="B64" s="870"/>
      <c r="C64" s="856"/>
      <c r="D64" s="259" t="s">
        <v>59</v>
      </c>
      <c r="E64" s="265">
        <f>C63</f>
        <v>5</v>
      </c>
      <c r="F64" s="265">
        <f>$C$63*0.9</f>
        <v>4.5</v>
      </c>
      <c r="G64" s="265">
        <f>$C$63*0.8</f>
        <v>4</v>
      </c>
      <c r="H64" s="265">
        <f>$C$63*0.7</f>
        <v>3.5</v>
      </c>
      <c r="I64" s="279">
        <f>$C$63*0.6</f>
        <v>3</v>
      </c>
    </row>
    <row r="65" spans="1:9" ht="14.25" customHeight="1">
      <c r="A65" s="864"/>
      <c r="B65" s="870"/>
      <c r="C65" s="856"/>
      <c r="D65" s="276" t="str">
        <f t="shared" ref="D65:D70" si="7">D27</f>
        <v>도시계획</v>
      </c>
      <c r="E65" s="266">
        <f>E64*$D$3</f>
        <v>1.5</v>
      </c>
      <c r="F65" s="266">
        <f>F64*$D$3</f>
        <v>1.3499999999999999</v>
      </c>
      <c r="G65" s="266">
        <f>G64*$D$3</f>
        <v>1.2</v>
      </c>
      <c r="H65" s="266">
        <f>H64*$D$3</f>
        <v>1.05</v>
      </c>
      <c r="I65" s="280">
        <f>I64*$D$3</f>
        <v>0.89999999999999991</v>
      </c>
    </row>
    <row r="66" spans="1:9" ht="14.25" customHeight="1">
      <c r="A66" s="864"/>
      <c r="B66" s="870"/>
      <c r="C66" s="856"/>
      <c r="D66" s="276" t="str">
        <f t="shared" si="7"/>
        <v>토질지질</v>
      </c>
      <c r="E66" s="266">
        <f>E64*$D$4</f>
        <v>0.5</v>
      </c>
      <c r="F66" s="266">
        <f>F64*$D$4</f>
        <v>0.45</v>
      </c>
      <c r="G66" s="266">
        <f>G64*$D$4</f>
        <v>0.4</v>
      </c>
      <c r="H66" s="266">
        <f>H64*$D$4</f>
        <v>0.35000000000000003</v>
      </c>
      <c r="I66" s="280">
        <f>I64*$D$4</f>
        <v>0.30000000000000004</v>
      </c>
    </row>
    <row r="67" spans="1:9" ht="14.25" customHeight="1">
      <c r="A67" s="864"/>
      <c r="B67" s="870"/>
      <c r="C67" s="856"/>
      <c r="D67" s="276" t="str">
        <f t="shared" si="7"/>
        <v>도로공항</v>
      </c>
      <c r="E67" s="266">
        <f>E64*$D$5</f>
        <v>1.25</v>
      </c>
      <c r="F67" s="266">
        <f>F64*$D$5</f>
        <v>1.125</v>
      </c>
      <c r="G67" s="266">
        <f>G64*$D$5</f>
        <v>1</v>
      </c>
      <c r="H67" s="266">
        <f>H64*$D$5</f>
        <v>0.875</v>
      </c>
      <c r="I67" s="280">
        <f>I64*$D$5</f>
        <v>0.75</v>
      </c>
    </row>
    <row r="68" spans="1:9" ht="14.25" customHeight="1">
      <c r="A68" s="864"/>
      <c r="B68" s="870"/>
      <c r="C68" s="856"/>
      <c r="D68" s="276" t="str">
        <f t="shared" si="7"/>
        <v>토목구조</v>
      </c>
      <c r="E68" s="266">
        <f>E64*$D$6</f>
        <v>0.5</v>
      </c>
      <c r="F68" s="266">
        <f>F64*$D$6</f>
        <v>0.45</v>
      </c>
      <c r="G68" s="266">
        <f>G64*$D$6</f>
        <v>0.4</v>
      </c>
      <c r="H68" s="266">
        <f>H64*$D$6</f>
        <v>0.35000000000000003</v>
      </c>
      <c r="I68" s="280">
        <f>I64*$D$6</f>
        <v>0.30000000000000004</v>
      </c>
    </row>
    <row r="69" spans="1:9" ht="14.25" customHeight="1">
      <c r="A69" s="864"/>
      <c r="B69" s="870"/>
      <c r="C69" s="856"/>
      <c r="D69" s="276" t="str">
        <f t="shared" si="7"/>
        <v>상하수도</v>
      </c>
      <c r="E69" s="266">
        <f>E64*$D$7</f>
        <v>0.75</v>
      </c>
      <c r="F69" s="266">
        <f>F64*$D$7</f>
        <v>0.67499999999999993</v>
      </c>
      <c r="G69" s="266">
        <f>G64*$D$7</f>
        <v>0.6</v>
      </c>
      <c r="H69" s="266">
        <f>H64*$D$7</f>
        <v>0.52500000000000002</v>
      </c>
      <c r="I69" s="280">
        <f>I64*$D$7</f>
        <v>0.44999999999999996</v>
      </c>
    </row>
    <row r="70" spans="1:9" ht="14.25" customHeight="1">
      <c r="A70" s="865"/>
      <c r="B70" s="869"/>
      <c r="C70" s="857"/>
      <c r="D70" s="276" t="str">
        <f t="shared" si="7"/>
        <v>조경</v>
      </c>
      <c r="E70" s="266">
        <f>E64*$D$8</f>
        <v>0.5</v>
      </c>
      <c r="F70" s="266">
        <f t="shared" ref="F70:I70" si="8">F64*$D$8</f>
        <v>0.45</v>
      </c>
      <c r="G70" s="266">
        <f t="shared" si="8"/>
        <v>0.4</v>
      </c>
      <c r="H70" s="266">
        <f t="shared" si="8"/>
        <v>0.35000000000000003</v>
      </c>
      <c r="I70" s="266">
        <f t="shared" si="8"/>
        <v>0.30000000000000004</v>
      </c>
    </row>
    <row r="71" spans="1:9" ht="14.25" customHeight="1">
      <c r="A71" s="863" t="s">
        <v>675</v>
      </c>
      <c r="B71" s="868" t="s">
        <v>98</v>
      </c>
      <c r="C71" s="855">
        <v>1</v>
      </c>
      <c r="D71" s="262" t="s">
        <v>95</v>
      </c>
      <c r="E71" s="262" t="s">
        <v>88</v>
      </c>
      <c r="F71" s="262" t="s">
        <v>167</v>
      </c>
      <c r="G71" s="259"/>
      <c r="H71" s="259"/>
      <c r="I71" s="281"/>
    </row>
    <row r="72" spans="1:9" ht="14.25" customHeight="1">
      <c r="A72" s="865"/>
      <c r="B72" s="869"/>
      <c r="C72" s="857"/>
      <c r="D72" s="259" t="s">
        <v>59</v>
      </c>
      <c r="E72" s="260">
        <v>1</v>
      </c>
      <c r="F72" s="260">
        <v>0.5</v>
      </c>
      <c r="G72" s="259"/>
      <c r="H72" s="259"/>
      <c r="I72" s="281"/>
    </row>
    <row r="73" spans="1:9" ht="14.25" customHeight="1">
      <c r="A73" s="871" t="s">
        <v>148</v>
      </c>
      <c r="B73" s="868" t="s">
        <v>161</v>
      </c>
      <c r="C73" s="885">
        <v>6</v>
      </c>
      <c r="D73" s="262" t="s">
        <v>87</v>
      </c>
      <c r="E73" s="282">
        <v>3</v>
      </c>
      <c r="F73" s="282">
        <v>2</v>
      </c>
      <c r="G73" s="282">
        <v>1</v>
      </c>
      <c r="H73" s="283">
        <v>1</v>
      </c>
      <c r="I73" s="273"/>
    </row>
    <row r="74" spans="1:9" ht="14.25" customHeight="1">
      <c r="A74" s="872"/>
      <c r="B74" s="870"/>
      <c r="C74" s="886"/>
      <c r="D74" s="259" t="s">
        <v>59</v>
      </c>
      <c r="E74" s="271">
        <f>$C$73*1</f>
        <v>6</v>
      </c>
      <c r="F74" s="271">
        <f>$C$73*0.9</f>
        <v>5.4</v>
      </c>
      <c r="G74" s="271">
        <f>$C$73*0.8</f>
        <v>4.8000000000000007</v>
      </c>
      <c r="H74" s="274">
        <f>$C$73*0.7</f>
        <v>4.1999999999999993</v>
      </c>
      <c r="I74" s="274"/>
    </row>
    <row r="75" spans="1:9" ht="14.25" customHeight="1">
      <c r="A75" s="872"/>
      <c r="B75" s="870"/>
      <c r="C75" s="886"/>
      <c r="D75" s="859" t="s">
        <v>255</v>
      </c>
      <c r="E75" s="284">
        <v>2.1</v>
      </c>
      <c r="F75" s="285">
        <v>15</v>
      </c>
      <c r="G75" s="285">
        <v>30</v>
      </c>
      <c r="H75" s="264"/>
      <c r="I75" s="264"/>
    </row>
    <row r="76" spans="1:9" ht="14.25" customHeight="1">
      <c r="A76" s="872"/>
      <c r="B76" s="869"/>
      <c r="C76" s="887"/>
      <c r="D76" s="861"/>
      <c r="E76" s="286">
        <v>0.7</v>
      </c>
      <c r="F76" s="286">
        <v>1</v>
      </c>
      <c r="G76" s="286">
        <v>1.3</v>
      </c>
      <c r="H76" s="264"/>
      <c r="I76" s="264"/>
    </row>
    <row r="77" spans="1:9" ht="14.25" customHeight="1">
      <c r="A77" s="872"/>
      <c r="B77" s="859" t="s">
        <v>162</v>
      </c>
      <c r="C77" s="884">
        <v>6</v>
      </c>
      <c r="D77" s="287">
        <v>2.5</v>
      </c>
      <c r="E77" s="287">
        <v>2</v>
      </c>
      <c r="F77" s="287">
        <v>1.5</v>
      </c>
      <c r="G77" s="287">
        <v>1</v>
      </c>
      <c r="H77" s="287">
        <v>0.5</v>
      </c>
      <c r="I77" s="288">
        <v>0.5</v>
      </c>
    </row>
    <row r="78" spans="1:9" ht="14.25" customHeight="1">
      <c r="A78" s="872"/>
      <c r="B78" s="861"/>
      <c r="C78" s="884"/>
      <c r="D78" s="271">
        <f>$C$77</f>
        <v>6</v>
      </c>
      <c r="E78" s="271">
        <f>$C$77*0.9</f>
        <v>5.4</v>
      </c>
      <c r="F78" s="271">
        <f>$C$77*0.8</f>
        <v>4.8000000000000007</v>
      </c>
      <c r="G78" s="271">
        <f>$C$77*0.7</f>
        <v>4.1999999999999993</v>
      </c>
      <c r="H78" s="271">
        <f>$C$77*0.6</f>
        <v>3.5999999999999996</v>
      </c>
      <c r="I78" s="271">
        <f>$C$77*0.5</f>
        <v>3</v>
      </c>
    </row>
    <row r="79" spans="1:9" ht="14.25" customHeight="1">
      <c r="A79" s="872"/>
      <c r="B79" s="868" t="s">
        <v>263</v>
      </c>
      <c r="C79" s="858">
        <v>1</v>
      </c>
      <c r="D79" s="262" t="s">
        <v>95</v>
      </c>
      <c r="E79" s="262" t="s">
        <v>252</v>
      </c>
      <c r="F79" s="262" t="s">
        <v>253</v>
      </c>
    </row>
    <row r="80" spans="1:9" ht="14.25" customHeight="1">
      <c r="A80" s="872"/>
      <c r="B80" s="869"/>
      <c r="C80" s="858"/>
      <c r="D80" s="276" t="s">
        <v>60</v>
      </c>
      <c r="E80" s="277">
        <v>1</v>
      </c>
      <c r="F80" s="278">
        <v>0.5</v>
      </c>
    </row>
    <row r="81" spans="1:10" ht="14.25" customHeight="1">
      <c r="A81" s="872"/>
      <c r="B81" s="868" t="s">
        <v>580</v>
      </c>
      <c r="C81" s="855">
        <v>2</v>
      </c>
      <c r="D81" s="287" t="s">
        <v>63</v>
      </c>
      <c r="E81" s="777">
        <v>95</v>
      </c>
      <c r="F81" s="777">
        <v>92</v>
      </c>
      <c r="G81" s="777">
        <v>89</v>
      </c>
      <c r="H81" s="777">
        <v>86</v>
      </c>
      <c r="I81" s="778">
        <v>86</v>
      </c>
    </row>
    <row r="82" spans="1:10" ht="14.25" customHeight="1">
      <c r="A82" s="888"/>
      <c r="B82" s="869"/>
      <c r="C82" s="857"/>
      <c r="D82" s="271" t="s">
        <v>742</v>
      </c>
      <c r="E82" s="779">
        <v>2</v>
      </c>
      <c r="F82" s="779">
        <v>1.8</v>
      </c>
      <c r="G82" s="779">
        <v>1.6</v>
      </c>
      <c r="H82" s="779">
        <v>1.4</v>
      </c>
      <c r="I82" s="779">
        <v>1.2</v>
      </c>
    </row>
    <row r="83" spans="1:10" ht="14.25" customHeight="1">
      <c r="A83" s="863" t="s">
        <v>71</v>
      </c>
      <c r="B83" s="868" t="s">
        <v>90</v>
      </c>
      <c r="C83" s="855">
        <v>7</v>
      </c>
      <c r="D83" s="262" t="s">
        <v>110</v>
      </c>
      <c r="E83" s="289">
        <v>1</v>
      </c>
      <c r="F83" s="290">
        <v>12</v>
      </c>
      <c r="G83" s="276" t="s">
        <v>81</v>
      </c>
      <c r="H83" s="276"/>
      <c r="I83" s="264"/>
    </row>
    <row r="84" spans="1:10" ht="14.25" customHeight="1">
      <c r="A84" s="864"/>
      <c r="B84" s="869"/>
      <c r="C84" s="856"/>
      <c r="D84" s="276" t="s">
        <v>89</v>
      </c>
      <c r="E84" s="260">
        <v>-0.2</v>
      </c>
      <c r="F84" s="290">
        <f>12*-0.2</f>
        <v>-2.4000000000000004</v>
      </c>
      <c r="G84" s="276"/>
      <c r="H84" s="259"/>
      <c r="I84" s="281"/>
    </row>
    <row r="85" spans="1:10" ht="14.25" customHeight="1">
      <c r="A85" s="864"/>
      <c r="B85" s="868" t="s">
        <v>91</v>
      </c>
      <c r="C85" s="856"/>
      <c r="D85" s="262" t="s">
        <v>110</v>
      </c>
      <c r="E85" s="289">
        <v>1</v>
      </c>
      <c r="F85" s="290">
        <v>12</v>
      </c>
      <c r="G85" s="276"/>
      <c r="H85" s="291"/>
      <c r="I85" s="292"/>
    </row>
    <row r="86" spans="1:10" ht="14.25" customHeight="1">
      <c r="A86" s="864"/>
      <c r="B86" s="869"/>
      <c r="C86" s="856"/>
      <c r="D86" s="276" t="s">
        <v>89</v>
      </c>
      <c r="E86" s="260">
        <v>-0.2</v>
      </c>
      <c r="F86" s="290">
        <f>12*-0.2</f>
        <v>-2.4000000000000004</v>
      </c>
      <c r="G86" s="276"/>
      <c r="H86" s="259"/>
      <c r="I86" s="281"/>
    </row>
    <row r="87" spans="1:10" ht="14.25" customHeight="1">
      <c r="A87" s="864"/>
      <c r="B87" s="862" t="s">
        <v>56</v>
      </c>
      <c r="C87" s="856"/>
      <c r="D87" s="262" t="s">
        <v>61</v>
      </c>
      <c r="E87" s="262" t="s">
        <v>321</v>
      </c>
      <c r="F87" s="262" t="s">
        <v>322</v>
      </c>
      <c r="G87" s="262" t="s">
        <v>323</v>
      </c>
      <c r="H87" s="262" t="s">
        <v>324</v>
      </c>
      <c r="I87" s="262" t="s">
        <v>325</v>
      </c>
      <c r="J87" s="262" t="s">
        <v>320</v>
      </c>
    </row>
    <row r="88" spans="1:10" ht="14.25" customHeight="1">
      <c r="A88" s="864"/>
      <c r="B88" s="862"/>
      <c r="C88" s="857"/>
      <c r="D88" s="276" t="s">
        <v>59</v>
      </c>
      <c r="E88" s="260">
        <v>0.2</v>
      </c>
      <c r="F88" s="260">
        <v>0.5</v>
      </c>
      <c r="G88" s="260">
        <v>1</v>
      </c>
      <c r="H88" s="260">
        <v>2</v>
      </c>
      <c r="I88" s="293">
        <v>3</v>
      </c>
      <c r="J88" s="293">
        <v>5</v>
      </c>
    </row>
    <row r="89" spans="1:10" ht="14.25" customHeight="1">
      <c r="A89" s="864"/>
      <c r="B89" s="868" t="s">
        <v>111</v>
      </c>
      <c r="C89" s="855">
        <v>3</v>
      </c>
      <c r="D89" s="262" t="s">
        <v>113</v>
      </c>
      <c r="E89" s="262" t="s">
        <v>581</v>
      </c>
      <c r="F89" s="262" t="s">
        <v>582</v>
      </c>
      <c r="G89" s="262" t="s">
        <v>163</v>
      </c>
      <c r="H89" s="263" t="s">
        <v>102</v>
      </c>
      <c r="I89" s="281"/>
    </row>
    <row r="90" spans="1:10" ht="14.25" customHeight="1">
      <c r="A90" s="864"/>
      <c r="B90" s="870"/>
      <c r="C90" s="856"/>
      <c r="D90" s="262" t="s">
        <v>114</v>
      </c>
      <c r="E90" s="262" t="s">
        <v>583</v>
      </c>
      <c r="F90" s="262" t="s">
        <v>149</v>
      </c>
      <c r="G90" s="262" t="s">
        <v>112</v>
      </c>
      <c r="H90" s="263" t="s">
        <v>102</v>
      </c>
      <c r="I90" s="281"/>
    </row>
    <row r="91" spans="1:10" ht="14.25" customHeight="1">
      <c r="A91" s="864"/>
      <c r="B91" s="870"/>
      <c r="C91" s="856"/>
      <c r="D91" s="262" t="s">
        <v>115</v>
      </c>
      <c r="E91" s="262" t="s">
        <v>581</v>
      </c>
      <c r="F91" s="262" t="s">
        <v>582</v>
      </c>
      <c r="G91" s="262" t="s">
        <v>163</v>
      </c>
      <c r="H91" s="263" t="s">
        <v>102</v>
      </c>
      <c r="I91" s="281"/>
    </row>
    <row r="92" spans="1:10" ht="14.25" customHeight="1">
      <c r="A92" s="865"/>
      <c r="B92" s="869"/>
      <c r="C92" s="857"/>
      <c r="D92" s="276" t="s">
        <v>59</v>
      </c>
      <c r="E92" s="260">
        <f>C89</f>
        <v>3</v>
      </c>
      <c r="F92" s="260">
        <v>2.8</v>
      </c>
      <c r="G92" s="260">
        <v>2.1</v>
      </c>
      <c r="H92" s="260">
        <v>0</v>
      </c>
      <c r="I92" s="294"/>
    </row>
    <row r="93" spans="1:10" ht="14.25" customHeight="1">
      <c r="A93" s="871" t="s">
        <v>92</v>
      </c>
      <c r="B93" s="868" t="s">
        <v>93</v>
      </c>
      <c r="C93" s="855">
        <v>2</v>
      </c>
      <c r="D93" s="262" t="s">
        <v>63</v>
      </c>
      <c r="E93" s="262" t="s">
        <v>86</v>
      </c>
      <c r="F93" s="262" t="s">
        <v>94</v>
      </c>
      <c r="G93" s="262" t="s">
        <v>72</v>
      </c>
      <c r="H93" s="276"/>
      <c r="I93" s="264"/>
    </row>
    <row r="94" spans="1:10" ht="14.25" customHeight="1">
      <c r="A94" s="872"/>
      <c r="B94" s="870"/>
      <c r="C94" s="856"/>
      <c r="D94" s="276" t="s">
        <v>59</v>
      </c>
      <c r="E94" s="260">
        <v>2</v>
      </c>
      <c r="F94" s="260">
        <v>1</v>
      </c>
      <c r="G94" s="260">
        <v>0.5</v>
      </c>
      <c r="H94" s="276"/>
      <c r="I94" s="264"/>
    </row>
    <row r="95" spans="1:10" ht="14.25" customHeight="1">
      <c r="A95" s="872"/>
      <c r="B95" s="870"/>
      <c r="C95" s="856"/>
      <c r="D95" s="262" t="s">
        <v>63</v>
      </c>
      <c r="E95" s="262" t="s">
        <v>82</v>
      </c>
      <c r="F95" s="262" t="s">
        <v>84</v>
      </c>
      <c r="G95" s="262" t="s">
        <v>85</v>
      </c>
      <c r="H95" s="276"/>
      <c r="I95" s="264"/>
    </row>
    <row r="96" spans="1:10" ht="14.25" customHeight="1">
      <c r="A96" s="872"/>
      <c r="B96" s="870"/>
      <c r="C96" s="856"/>
      <c r="D96" s="259" t="s">
        <v>109</v>
      </c>
      <c r="E96" s="277">
        <v>1</v>
      </c>
      <c r="F96" s="277">
        <v>0.8</v>
      </c>
      <c r="G96" s="277">
        <v>0.6</v>
      </c>
      <c r="H96" s="276"/>
      <c r="I96" s="264"/>
    </row>
    <row r="97" spans="1:10" ht="14.25" customHeight="1">
      <c r="A97" s="872"/>
      <c r="B97" s="869"/>
      <c r="C97" s="857"/>
      <c r="D97" s="259" t="s">
        <v>72</v>
      </c>
      <c r="E97" s="277">
        <v>1</v>
      </c>
      <c r="F97" s="277">
        <v>0.8</v>
      </c>
      <c r="G97" s="295"/>
      <c r="H97" s="276"/>
      <c r="I97" s="264"/>
    </row>
    <row r="98" spans="1:10" ht="14.25" customHeight="1">
      <c r="A98" s="872"/>
      <c r="B98" s="862" t="s">
        <v>62</v>
      </c>
      <c r="C98" s="858">
        <v>8</v>
      </c>
      <c r="D98" s="262" t="s">
        <v>70</v>
      </c>
      <c r="E98" s="296">
        <v>1.4999999999999999E-2</v>
      </c>
      <c r="F98" s="296">
        <v>1.2500000000000001E-2</v>
      </c>
      <c r="G98" s="296">
        <v>0.01</v>
      </c>
      <c r="H98" s="296">
        <v>7.4999999999999997E-3</v>
      </c>
      <c r="I98" s="296">
        <v>5.0000000000000001E-3</v>
      </c>
    </row>
    <row r="99" spans="1:10" ht="14.25" customHeight="1">
      <c r="A99" s="872"/>
      <c r="B99" s="862"/>
      <c r="C99" s="858"/>
      <c r="D99" s="276" t="s">
        <v>59</v>
      </c>
      <c r="E99" s="260">
        <f>C98</f>
        <v>8</v>
      </c>
      <c r="F99" s="260">
        <v>7</v>
      </c>
      <c r="G99" s="260">
        <v>6</v>
      </c>
      <c r="H99" s="260">
        <v>5</v>
      </c>
      <c r="I99" s="293">
        <v>4</v>
      </c>
    </row>
    <row r="100" spans="1:10" ht="14.25" customHeight="1">
      <c r="A100" s="872"/>
      <c r="B100" s="868" t="s">
        <v>164</v>
      </c>
      <c r="C100" s="855">
        <v>3</v>
      </c>
      <c r="D100" s="262" t="s">
        <v>63</v>
      </c>
      <c r="E100" s="262" t="s">
        <v>86</v>
      </c>
      <c r="F100" s="262" t="s">
        <v>94</v>
      </c>
      <c r="G100" s="262" t="s">
        <v>72</v>
      </c>
      <c r="H100" s="276"/>
      <c r="I100" s="264"/>
    </row>
    <row r="101" spans="1:10" ht="14.25" customHeight="1">
      <c r="A101" s="872"/>
      <c r="B101" s="870"/>
      <c r="C101" s="856"/>
      <c r="D101" s="276" t="s">
        <v>59</v>
      </c>
      <c r="E101" s="260">
        <v>1</v>
      </c>
      <c r="F101" s="260">
        <v>0.6</v>
      </c>
      <c r="G101" s="260">
        <v>0.3</v>
      </c>
      <c r="H101" s="276"/>
      <c r="I101" s="264"/>
    </row>
    <row r="102" spans="1:10" ht="14.25" customHeight="1">
      <c r="A102" s="872"/>
      <c r="B102" s="870"/>
      <c r="C102" s="856"/>
      <c r="D102" s="262" t="s">
        <v>63</v>
      </c>
      <c r="E102" s="262" t="s">
        <v>82</v>
      </c>
      <c r="F102" s="262" t="s">
        <v>84</v>
      </c>
      <c r="G102" s="262" t="s">
        <v>85</v>
      </c>
      <c r="H102" s="276"/>
      <c r="I102" s="264"/>
    </row>
    <row r="103" spans="1:10" ht="14.25" customHeight="1">
      <c r="A103" s="872"/>
      <c r="B103" s="870"/>
      <c r="C103" s="856"/>
      <c r="D103" s="259" t="s">
        <v>109</v>
      </c>
      <c r="E103" s="277">
        <v>1</v>
      </c>
      <c r="F103" s="277">
        <v>0.8</v>
      </c>
      <c r="G103" s="277">
        <v>0.6</v>
      </c>
      <c r="H103" s="276"/>
      <c r="I103" s="264"/>
    </row>
    <row r="104" spans="1:10" ht="14.25" customHeight="1">
      <c r="A104" s="872"/>
      <c r="B104" s="870"/>
      <c r="C104" s="856"/>
      <c r="D104" s="259" t="s">
        <v>72</v>
      </c>
      <c r="E104" s="277">
        <v>1</v>
      </c>
      <c r="F104" s="277">
        <v>0.8</v>
      </c>
      <c r="G104" s="295"/>
      <c r="H104" s="276"/>
      <c r="I104" s="264"/>
    </row>
    <row r="105" spans="1:10" ht="14.25" customHeight="1">
      <c r="A105" s="872"/>
      <c r="B105" s="870"/>
      <c r="C105" s="856"/>
      <c r="D105" s="262" t="s">
        <v>145</v>
      </c>
      <c r="E105" s="297">
        <v>1</v>
      </c>
      <c r="F105" s="297">
        <v>0.9</v>
      </c>
      <c r="G105" s="297">
        <v>0.8</v>
      </c>
      <c r="H105" s="297">
        <v>0.7</v>
      </c>
      <c r="I105" s="298">
        <v>0.6</v>
      </c>
    </row>
    <row r="106" spans="1:10" ht="14.25" customHeight="1">
      <c r="A106" s="872"/>
      <c r="B106" s="870"/>
      <c r="C106" s="856"/>
      <c r="D106" s="259" t="s">
        <v>165</v>
      </c>
      <c r="E106" s="299">
        <v>5</v>
      </c>
      <c r="F106" s="299">
        <v>4</v>
      </c>
      <c r="G106" s="299">
        <v>3</v>
      </c>
      <c r="H106" s="299">
        <v>2</v>
      </c>
      <c r="I106" s="300">
        <v>1</v>
      </c>
    </row>
    <row r="107" spans="1:10" ht="14.25" customHeight="1">
      <c r="A107" s="872"/>
      <c r="B107" s="870"/>
      <c r="C107" s="856"/>
      <c r="D107" s="259" t="s">
        <v>166</v>
      </c>
      <c r="E107" s="299">
        <v>20</v>
      </c>
      <c r="F107" s="299">
        <v>18</v>
      </c>
      <c r="G107" s="299">
        <v>16</v>
      </c>
      <c r="H107" s="301">
        <v>14</v>
      </c>
      <c r="I107" s="302">
        <v>12</v>
      </c>
      <c r="J107" s="303"/>
    </row>
    <row r="108" spans="1:10" ht="14.25" customHeight="1">
      <c r="A108" s="872"/>
      <c r="B108" s="869"/>
      <c r="C108" s="857"/>
      <c r="D108" s="881" t="s">
        <v>146</v>
      </c>
      <c r="E108" s="882"/>
      <c r="F108" s="882"/>
      <c r="G108" s="882"/>
      <c r="H108" s="882"/>
      <c r="I108" s="883"/>
    </row>
    <row r="109" spans="1:10" ht="14.25" customHeight="1">
      <c r="A109" s="859" t="s">
        <v>584</v>
      </c>
      <c r="B109" s="862" t="s">
        <v>585</v>
      </c>
      <c r="C109" s="858">
        <v>1</v>
      </c>
      <c r="D109" s="304" t="s">
        <v>587</v>
      </c>
      <c r="E109" s="257" t="s">
        <v>588</v>
      </c>
      <c r="F109" s="305"/>
      <c r="G109" s="306"/>
      <c r="H109" s="306"/>
      <c r="I109" s="306"/>
    </row>
    <row r="110" spans="1:10" ht="14.25" customHeight="1">
      <c r="A110" s="860"/>
      <c r="B110" s="862"/>
      <c r="C110" s="858"/>
      <c r="D110" s="271">
        <f>C109</f>
        <v>1</v>
      </c>
      <c r="E110" s="307">
        <v>0</v>
      </c>
      <c r="F110" s="308"/>
      <c r="G110" s="306"/>
      <c r="H110" s="306"/>
      <c r="I110" s="306"/>
    </row>
    <row r="111" spans="1:10" ht="14.25" customHeight="1">
      <c r="A111" s="860"/>
      <c r="B111" s="862" t="s">
        <v>586</v>
      </c>
      <c r="C111" s="858">
        <v>1</v>
      </c>
      <c r="D111" s="296">
        <v>0.82</v>
      </c>
      <c r="E111" s="296">
        <v>0.77</v>
      </c>
      <c r="F111" s="296">
        <v>0.7</v>
      </c>
      <c r="G111" s="296">
        <v>0.65</v>
      </c>
      <c r="H111" s="262" t="s">
        <v>588</v>
      </c>
      <c r="I111" s="306"/>
    </row>
    <row r="112" spans="1:10" ht="14.25" customHeight="1">
      <c r="A112" s="861"/>
      <c r="B112" s="862"/>
      <c r="C112" s="858"/>
      <c r="D112" s="271">
        <f>C111</f>
        <v>1</v>
      </c>
      <c r="E112" s="309">
        <v>0.8</v>
      </c>
      <c r="F112" s="310">
        <v>0.6</v>
      </c>
      <c r="G112" s="311">
        <v>0.4</v>
      </c>
      <c r="H112" s="310">
        <v>0</v>
      </c>
      <c r="I112" s="306"/>
    </row>
    <row r="113" spans="1:9" ht="14.25" customHeight="1">
      <c r="A113" s="863" t="s">
        <v>96</v>
      </c>
      <c r="B113" s="312" t="s">
        <v>676</v>
      </c>
      <c r="C113" s="313">
        <v>3</v>
      </c>
      <c r="D113" s="314" t="s">
        <v>261</v>
      </c>
      <c r="E113" s="315">
        <f>$C$113*1</f>
        <v>3</v>
      </c>
      <c r="F113" s="875" t="s">
        <v>260</v>
      </c>
      <c r="G113" s="876"/>
      <c r="H113" s="876"/>
      <c r="I113" s="877"/>
    </row>
    <row r="114" spans="1:9" ht="14.25" customHeight="1">
      <c r="A114" s="864"/>
      <c r="B114" s="868" t="s">
        <v>679</v>
      </c>
      <c r="C114" s="855">
        <v>4</v>
      </c>
      <c r="D114" s="276" t="str">
        <f>D65</f>
        <v>도시계획</v>
      </c>
      <c r="E114" s="266">
        <f>$C$114*D3/(D3+D4+D5+D6+D7)</f>
        <v>1.3333333333333333</v>
      </c>
      <c r="F114" s="878"/>
      <c r="G114" s="879"/>
      <c r="H114" s="879"/>
      <c r="I114" s="880"/>
    </row>
    <row r="115" spans="1:9" ht="14.25" customHeight="1">
      <c r="A115" s="864"/>
      <c r="B115" s="870"/>
      <c r="C115" s="856"/>
      <c r="D115" s="276" t="str">
        <f>D66</f>
        <v>토질지질</v>
      </c>
      <c r="E115" s="266">
        <f>$C$114*D4/(D3+D4+D5+D6+D7)</f>
        <v>0.44444444444444448</v>
      </c>
      <c r="F115" s="873" t="s">
        <v>409</v>
      </c>
      <c r="G115" s="874"/>
      <c r="H115" s="874"/>
      <c r="I115" s="874"/>
    </row>
    <row r="116" spans="1:9" ht="14.25" customHeight="1">
      <c r="A116" s="864"/>
      <c r="B116" s="870"/>
      <c r="C116" s="856"/>
      <c r="D116" s="276" t="str">
        <f>D67</f>
        <v>도로공항</v>
      </c>
      <c r="E116" s="266">
        <f>$C$114*D5/(D3+D4+D5+D6+D7)</f>
        <v>1.1111111111111112</v>
      </c>
      <c r="F116" s="873"/>
      <c r="G116" s="874"/>
      <c r="H116" s="874"/>
      <c r="I116" s="874"/>
    </row>
    <row r="117" spans="1:9" ht="14.25" customHeight="1">
      <c r="A117" s="864"/>
      <c r="B117" s="870"/>
      <c r="C117" s="856"/>
      <c r="D117" s="276" t="str">
        <f>D68</f>
        <v>토목구조</v>
      </c>
      <c r="E117" s="266">
        <f>$C$114*D6/(D3+D4+D5+D6+D7)</f>
        <v>0.44444444444444448</v>
      </c>
      <c r="F117" s="873"/>
      <c r="G117" s="874"/>
      <c r="H117" s="874"/>
      <c r="I117" s="874"/>
    </row>
    <row r="118" spans="1:9" ht="14.25" customHeight="1">
      <c r="A118" s="864"/>
      <c r="B118" s="869"/>
      <c r="C118" s="857"/>
      <c r="D118" s="276" t="str">
        <f>D69</f>
        <v>상하수도</v>
      </c>
      <c r="E118" s="266">
        <f>$C$114*D7/(D3+D4+D5+D6+D7)</f>
        <v>0.66666666666666663</v>
      </c>
      <c r="F118" s="873"/>
      <c r="G118" s="874"/>
      <c r="H118" s="874"/>
      <c r="I118" s="874"/>
    </row>
    <row r="119" spans="1:9" ht="14.25" customHeight="1">
      <c r="A119" s="864"/>
      <c r="B119" s="868" t="s">
        <v>680</v>
      </c>
      <c r="C119" s="855">
        <v>2</v>
      </c>
      <c r="D119" s="276" t="str">
        <f>D114</f>
        <v>도시계획</v>
      </c>
      <c r="E119" s="266">
        <f>$C$119*D3/(D3+D4+D5+D6+D7)</f>
        <v>0.66666666666666663</v>
      </c>
      <c r="F119" s="316"/>
      <c r="G119" s="317"/>
      <c r="H119" s="317"/>
      <c r="I119" s="317"/>
    </row>
    <row r="120" spans="1:9" ht="14.25" customHeight="1">
      <c r="A120" s="864"/>
      <c r="B120" s="870"/>
      <c r="C120" s="856"/>
      <c r="D120" s="276" t="str">
        <f t="shared" ref="D120:D123" si="9">D115</f>
        <v>토질지질</v>
      </c>
      <c r="E120" s="266">
        <f>$C$119*D4/(D3+D4+D5+D6+D7)</f>
        <v>0.22222222222222224</v>
      </c>
      <c r="F120" s="316"/>
      <c r="G120" s="317"/>
      <c r="H120" s="317"/>
      <c r="I120" s="317"/>
    </row>
    <row r="121" spans="1:9" ht="14.25" customHeight="1">
      <c r="A121" s="864"/>
      <c r="B121" s="870"/>
      <c r="C121" s="856"/>
      <c r="D121" s="276" t="str">
        <f t="shared" si="9"/>
        <v>도로공항</v>
      </c>
      <c r="E121" s="266">
        <f>$C$119*D5/(D3+D4+D5+D6+D7)</f>
        <v>0.55555555555555558</v>
      </c>
      <c r="F121" s="316"/>
      <c r="G121" s="317"/>
      <c r="H121" s="317"/>
      <c r="I121" s="317"/>
    </row>
    <row r="122" spans="1:9" ht="14.25" customHeight="1">
      <c r="A122" s="864"/>
      <c r="B122" s="870"/>
      <c r="C122" s="856"/>
      <c r="D122" s="276" t="str">
        <f t="shared" si="9"/>
        <v>토목구조</v>
      </c>
      <c r="E122" s="266">
        <f>$C$119*D6/(D3+D4+D5+D6+D7)</f>
        <v>0.22222222222222224</v>
      </c>
      <c r="F122" s="316"/>
      <c r="G122" s="317"/>
      <c r="H122" s="317"/>
      <c r="I122" s="317"/>
    </row>
    <row r="123" spans="1:9" ht="14.25" customHeight="1">
      <c r="A123" s="864"/>
      <c r="B123" s="869"/>
      <c r="C123" s="857"/>
      <c r="D123" s="276" t="str">
        <f t="shared" si="9"/>
        <v>상하수도</v>
      </c>
      <c r="E123" s="266">
        <f>$C$119*D7/(D3+D4+D5+D6+D7)</f>
        <v>0.33333333333333331</v>
      </c>
      <c r="F123" s="316"/>
      <c r="G123" s="317"/>
      <c r="H123" s="317"/>
      <c r="I123" s="317"/>
    </row>
    <row r="124" spans="1:9" ht="14.25" customHeight="1">
      <c r="A124" s="864"/>
      <c r="B124" s="870" t="s">
        <v>681</v>
      </c>
      <c r="C124" s="855">
        <v>1</v>
      </c>
      <c r="D124" s="276" t="str">
        <f>D119</f>
        <v>도시계획</v>
      </c>
      <c r="E124" s="266">
        <f>$C$124*D3/(D3+D4+D5+D6+D7)</f>
        <v>0.33333333333333331</v>
      </c>
      <c r="F124" s="316"/>
      <c r="G124" s="317"/>
      <c r="H124" s="317"/>
      <c r="I124" s="317"/>
    </row>
    <row r="125" spans="1:9" ht="14.25" customHeight="1">
      <c r="A125" s="864"/>
      <c r="B125" s="870"/>
      <c r="C125" s="856"/>
      <c r="D125" s="276" t="str">
        <f t="shared" ref="D125:D128" si="10">D120</f>
        <v>토질지질</v>
      </c>
      <c r="E125" s="266">
        <f>$C$124*D4/(D3+D4+D5+D6+D7)</f>
        <v>0.11111111111111112</v>
      </c>
      <c r="F125" s="316"/>
      <c r="G125" s="317"/>
      <c r="H125" s="317"/>
      <c r="I125" s="317"/>
    </row>
    <row r="126" spans="1:9" ht="14.25" customHeight="1">
      <c r="A126" s="864"/>
      <c r="B126" s="870"/>
      <c r="C126" s="856"/>
      <c r="D126" s="276" t="str">
        <f t="shared" si="10"/>
        <v>도로공항</v>
      </c>
      <c r="E126" s="266">
        <f>$C$124*D5/(D3+D4+D5+D6+D7)</f>
        <v>0.27777777777777779</v>
      </c>
      <c r="F126" s="316"/>
      <c r="G126" s="317"/>
      <c r="H126" s="317"/>
      <c r="I126" s="317"/>
    </row>
    <row r="127" spans="1:9" ht="14.25" customHeight="1">
      <c r="A127" s="864"/>
      <c r="B127" s="870"/>
      <c r="C127" s="856"/>
      <c r="D127" s="276" t="str">
        <f t="shared" si="10"/>
        <v>토목구조</v>
      </c>
      <c r="E127" s="266">
        <f>$C$124*D6/(D3+D4+D5+D6+D7)</f>
        <v>0.11111111111111112</v>
      </c>
      <c r="F127" s="316"/>
      <c r="G127" s="317"/>
      <c r="H127" s="317"/>
      <c r="I127" s="317"/>
    </row>
    <row r="128" spans="1:9" ht="14.25" customHeight="1">
      <c r="A128" s="865"/>
      <c r="B128" s="870"/>
      <c r="C128" s="857"/>
      <c r="D128" s="276" t="str">
        <f t="shared" si="10"/>
        <v>상하수도</v>
      </c>
      <c r="E128" s="266">
        <f>$C$124*D7/(D3+D4+D5+D6+D7)</f>
        <v>0.16666666666666666</v>
      </c>
      <c r="F128" s="316"/>
      <c r="G128" s="317"/>
      <c r="H128" s="317"/>
      <c r="I128" s="317"/>
    </row>
    <row r="129" spans="1:9" ht="14.25" customHeight="1">
      <c r="A129" s="863" t="s">
        <v>97</v>
      </c>
      <c r="B129" s="868" t="s">
        <v>750</v>
      </c>
      <c r="C129" s="858"/>
      <c r="D129" s="262" t="s">
        <v>751</v>
      </c>
      <c r="E129" s="262" t="s">
        <v>264</v>
      </c>
      <c r="F129" s="312"/>
      <c r="G129" s="312"/>
      <c r="H129" s="312"/>
      <c r="I129" s="312"/>
    </row>
    <row r="130" spans="1:9" ht="14.25" customHeight="1">
      <c r="A130" s="864"/>
      <c r="B130" s="869"/>
      <c r="C130" s="858"/>
      <c r="D130" s="318" t="s">
        <v>265</v>
      </c>
      <c r="E130" s="319" t="s">
        <v>311</v>
      </c>
      <c r="F130" s="320"/>
      <c r="G130" s="320"/>
      <c r="H130" s="320"/>
      <c r="I130" s="320"/>
    </row>
    <row r="131" spans="1:9" ht="14.25" customHeight="1">
      <c r="A131" s="864"/>
      <c r="B131" s="868" t="s">
        <v>749</v>
      </c>
      <c r="C131" s="855"/>
      <c r="D131" s="322">
        <v>0.03</v>
      </c>
      <c r="E131" s="322">
        <v>0.02</v>
      </c>
      <c r="F131" s="322">
        <v>0.01</v>
      </c>
      <c r="G131" s="320"/>
      <c r="H131" s="320"/>
      <c r="I131" s="323"/>
    </row>
    <row r="132" spans="1:9" ht="14.25" customHeight="1">
      <c r="A132" s="864"/>
      <c r="B132" s="869"/>
      <c r="C132" s="857"/>
      <c r="D132" s="271">
        <v>0.3</v>
      </c>
      <c r="E132" s="309">
        <v>0.2</v>
      </c>
      <c r="F132" s="310">
        <v>0.1</v>
      </c>
      <c r="G132" s="320"/>
      <c r="H132" s="320"/>
      <c r="I132" s="323"/>
    </row>
    <row r="133" spans="1:9" ht="14.25" customHeight="1">
      <c r="A133" s="864"/>
      <c r="B133" s="868" t="s">
        <v>760</v>
      </c>
      <c r="C133" s="855"/>
      <c r="D133" s="322">
        <v>0.05</v>
      </c>
      <c r="E133" s="322">
        <v>0.03</v>
      </c>
      <c r="F133" s="322">
        <v>0.01</v>
      </c>
      <c r="G133" s="787"/>
      <c r="H133" s="787"/>
      <c r="I133" s="323"/>
    </row>
    <row r="134" spans="1:9" ht="14.25" customHeight="1">
      <c r="A134" s="865"/>
      <c r="B134" s="869"/>
      <c r="C134" s="857"/>
      <c r="D134" s="271">
        <v>0.2</v>
      </c>
      <c r="E134" s="309">
        <v>0.15</v>
      </c>
      <c r="F134" s="310">
        <v>0.1</v>
      </c>
      <c r="G134" s="787"/>
      <c r="H134" s="787"/>
      <c r="I134" s="323"/>
    </row>
    <row r="135" spans="1:9" ht="14.25" customHeight="1">
      <c r="A135" s="866" t="s">
        <v>64</v>
      </c>
      <c r="B135" s="867"/>
      <c r="C135" s="321">
        <f>SUM(C11:C128)</f>
        <v>100</v>
      </c>
      <c r="D135" s="324"/>
      <c r="E135" s="324"/>
      <c r="F135" s="324"/>
      <c r="G135" s="324"/>
      <c r="H135" s="324"/>
      <c r="I135" s="325"/>
    </row>
    <row r="136" spans="1:9" ht="18.75" customHeight="1">
      <c r="A136" s="326"/>
      <c r="B136" s="326"/>
      <c r="C136" s="327"/>
      <c r="D136" s="326"/>
      <c r="E136" s="326"/>
      <c r="F136" s="326"/>
      <c r="G136" s="326"/>
      <c r="H136" s="326"/>
      <c r="I136" s="326"/>
    </row>
    <row r="137" spans="1:9" s="326" customFormat="1" ht="19.5" customHeight="1">
      <c r="C137" s="327"/>
    </row>
    <row r="138" spans="1:9" s="326" customFormat="1">
      <c r="C138" s="327"/>
    </row>
    <row r="139" spans="1:9" s="326" customFormat="1">
      <c r="C139" s="327"/>
    </row>
    <row r="140" spans="1:9" s="326" customFormat="1">
      <c r="C140" s="327"/>
    </row>
    <row r="141" spans="1:9" s="326" customFormat="1">
      <c r="C141" s="327"/>
    </row>
    <row r="142" spans="1:9" s="326" customFormat="1">
      <c r="C142" s="327"/>
    </row>
    <row r="143" spans="1:9" s="326" customFormat="1">
      <c r="C143" s="327"/>
    </row>
    <row r="144" spans="1:9" s="326" customFormat="1">
      <c r="C144" s="327"/>
    </row>
    <row r="145" spans="1:9" s="326" customFormat="1">
      <c r="C145" s="327"/>
    </row>
    <row r="146" spans="1:9" s="326" customFormat="1">
      <c r="C146" s="327"/>
    </row>
    <row r="147" spans="1:9" s="326" customFormat="1">
      <c r="C147" s="327"/>
    </row>
    <row r="148" spans="1:9" s="326" customFormat="1">
      <c r="C148" s="327"/>
    </row>
    <row r="149" spans="1:9" s="326" customFormat="1">
      <c r="C149" s="327"/>
    </row>
    <row r="150" spans="1:9" s="326" customFormat="1">
      <c r="C150" s="327"/>
    </row>
    <row r="151" spans="1:9" s="326" customFormat="1">
      <c r="C151" s="327"/>
    </row>
    <row r="152" spans="1:9" s="326" customFormat="1">
      <c r="C152" s="327"/>
    </row>
    <row r="153" spans="1:9" s="326" customFormat="1">
      <c r="C153" s="327"/>
    </row>
    <row r="154" spans="1:9" s="326" customFormat="1">
      <c r="C154" s="327"/>
    </row>
    <row r="155" spans="1:9" s="326" customFormat="1">
      <c r="C155" s="327"/>
    </row>
    <row r="156" spans="1:9" s="326" customFormat="1">
      <c r="C156" s="327"/>
    </row>
    <row r="157" spans="1:9" s="326" customFormat="1">
      <c r="C157" s="327"/>
    </row>
    <row r="158" spans="1:9" s="326" customFormat="1">
      <c r="C158" s="327"/>
    </row>
    <row r="159" spans="1:9" s="326" customFormat="1">
      <c r="A159" s="221"/>
      <c r="B159" s="221"/>
      <c r="C159" s="328"/>
      <c r="D159" s="221"/>
      <c r="E159" s="221"/>
      <c r="F159" s="221"/>
      <c r="G159" s="221"/>
      <c r="H159" s="221"/>
      <c r="I159" s="221"/>
    </row>
  </sheetData>
  <sheetProtection selectLockedCells="1"/>
  <mergeCells count="90">
    <mergeCell ref="A25:A31"/>
    <mergeCell ref="B39:B46"/>
    <mergeCell ref="A39:A54"/>
    <mergeCell ref="B47:B54"/>
    <mergeCell ref="A55:A70"/>
    <mergeCell ref="B55:B62"/>
    <mergeCell ref="B63:B70"/>
    <mergeCell ref="C131:C132"/>
    <mergeCell ref="C133:C134"/>
    <mergeCell ref="C25:C32"/>
    <mergeCell ref="B37:B38"/>
    <mergeCell ref="B33:B34"/>
    <mergeCell ref="B35:B36"/>
    <mergeCell ref="C55:C62"/>
    <mergeCell ref="F1:G1"/>
    <mergeCell ref="A11:A16"/>
    <mergeCell ref="B11:B12"/>
    <mergeCell ref="C11:C12"/>
    <mergeCell ref="B15:B16"/>
    <mergeCell ref="C13:C14"/>
    <mergeCell ref="B9:C9"/>
    <mergeCell ref="F2:G2"/>
    <mergeCell ref="C15:C16"/>
    <mergeCell ref="E3:E9"/>
    <mergeCell ref="A1:D1"/>
    <mergeCell ref="B13:B14"/>
    <mergeCell ref="A3:A9"/>
    <mergeCell ref="A17:A23"/>
    <mergeCell ref="B17:B23"/>
    <mergeCell ref="B25:B31"/>
    <mergeCell ref="C98:C99"/>
    <mergeCell ref="C124:C128"/>
    <mergeCell ref="C81:C82"/>
    <mergeCell ref="C17:C24"/>
    <mergeCell ref="B98:B99"/>
    <mergeCell ref="A71:A72"/>
    <mergeCell ref="B77:B78"/>
    <mergeCell ref="B73:B76"/>
    <mergeCell ref="B71:B72"/>
    <mergeCell ref="B79:B80"/>
    <mergeCell ref="A73:A82"/>
    <mergeCell ref="B81:B82"/>
    <mergeCell ref="A33:A38"/>
    <mergeCell ref="D108:I108"/>
    <mergeCell ref="C37:C38"/>
    <mergeCell ref="D75:D76"/>
    <mergeCell ref="C33:C34"/>
    <mergeCell ref="C71:C72"/>
    <mergeCell ref="C73:C76"/>
    <mergeCell ref="C100:C108"/>
    <mergeCell ref="G37:G38"/>
    <mergeCell ref="C35:C36"/>
    <mergeCell ref="C77:C78"/>
    <mergeCell ref="C93:C97"/>
    <mergeCell ref="C89:C92"/>
    <mergeCell ref="C83:C88"/>
    <mergeCell ref="C79:C80"/>
    <mergeCell ref="C39:C46"/>
    <mergeCell ref="C47:C54"/>
    <mergeCell ref="F118:I118"/>
    <mergeCell ref="F113:I114"/>
    <mergeCell ref="F117:I117"/>
    <mergeCell ref="F116:I116"/>
    <mergeCell ref="F115:I115"/>
    <mergeCell ref="A135:B135"/>
    <mergeCell ref="B87:B88"/>
    <mergeCell ref="B129:B130"/>
    <mergeCell ref="B89:B92"/>
    <mergeCell ref="B93:B97"/>
    <mergeCell ref="A83:A92"/>
    <mergeCell ref="A93:A108"/>
    <mergeCell ref="B85:B86"/>
    <mergeCell ref="B114:B118"/>
    <mergeCell ref="B100:B108"/>
    <mergeCell ref="B83:B84"/>
    <mergeCell ref="B124:B128"/>
    <mergeCell ref="B131:B132"/>
    <mergeCell ref="B119:B123"/>
    <mergeCell ref="B133:B134"/>
    <mergeCell ref="A129:A134"/>
    <mergeCell ref="C63:C70"/>
    <mergeCell ref="C129:C130"/>
    <mergeCell ref="C114:C118"/>
    <mergeCell ref="A109:A112"/>
    <mergeCell ref="C119:C123"/>
    <mergeCell ref="B109:B110"/>
    <mergeCell ref="C109:C110"/>
    <mergeCell ref="B111:B112"/>
    <mergeCell ref="C111:C112"/>
    <mergeCell ref="A113:A128"/>
  </mergeCells>
  <phoneticPr fontId="2" type="noConversion"/>
  <printOptions horizontalCentered="1" verticalCentered="1"/>
  <pageMargins left="0.74803149606299213" right="0.74803149606299213" top="0.6692913385826772" bottom="0.31496062992125984" header="0.51181102362204722" footer="0.51181102362204722"/>
  <pageSetup paperSize="9" scale="52" fitToHeight="2" orientation="portrait" horizontalDpi="300" verticalDpi="300" r:id="rId1"/>
  <headerFooter alignWithMargins="0"/>
  <rowBreaks count="1" manualBreakCount="1">
    <brk id="92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0"/>
    <pageSetUpPr fitToPage="1"/>
  </sheetPr>
  <dimension ref="A1:U58"/>
  <sheetViews>
    <sheetView view="pageBreakPreview" zoomScale="85" zoomScaleNormal="70" zoomScaleSheetLayoutView="70" workbookViewId="0">
      <selection activeCell="B6" sqref="B6"/>
    </sheetView>
  </sheetViews>
  <sheetFormatPr defaultRowHeight="15.95" customHeight="1"/>
  <cols>
    <col min="1" max="1" width="3.77734375" style="207" customWidth="1"/>
    <col min="2" max="2" width="25.21875" style="207" customWidth="1"/>
    <col min="3" max="3" width="10.5546875" style="207" customWidth="1"/>
    <col min="4" max="4" width="9.6640625" style="207" customWidth="1"/>
    <col min="5" max="5" width="12" style="207" bestFit="1" customWidth="1"/>
    <col min="6" max="6" width="10.6640625" style="207" customWidth="1"/>
    <col min="7" max="8" width="12.21875" style="207" customWidth="1"/>
    <col min="9" max="9" width="10.109375" style="207" customWidth="1"/>
    <col min="10" max="10" width="10.5546875" style="207" customWidth="1"/>
    <col min="11" max="11" width="7.6640625" style="207" customWidth="1"/>
    <col min="12" max="13" width="8.88671875" style="207"/>
    <col min="14" max="16" width="7.77734375" style="207" customWidth="1"/>
    <col min="17" max="17" width="6.6640625" style="207" customWidth="1"/>
    <col min="18" max="18" width="15" style="207" customWidth="1"/>
    <col min="19" max="20" width="14.33203125" style="207" customWidth="1"/>
    <col min="21" max="21" width="12.33203125" style="455" customWidth="1"/>
    <col min="22" max="22" width="7.88671875" style="207" customWidth="1"/>
    <col min="23" max="23" width="10.109375" style="207" bestFit="1" customWidth="1"/>
    <col min="24" max="24" width="7.77734375" style="207" customWidth="1"/>
    <col min="25" max="16384" width="8.88671875" style="207"/>
  </cols>
  <sheetData>
    <row r="1" spans="1:21" s="365" customFormat="1" ht="24.95" customHeight="1">
      <c r="A1" s="364" t="s">
        <v>195</v>
      </c>
      <c r="U1" s="452"/>
    </row>
    <row r="2" spans="1:21" s="218" customFormat="1" ht="15" customHeight="1">
      <c r="A2" s="363"/>
      <c r="U2" s="453"/>
    </row>
    <row r="3" spans="1:21" s="365" customFormat="1" ht="24.95" customHeight="1">
      <c r="B3" s="401" t="s">
        <v>170</v>
      </c>
      <c r="C3" s="401"/>
    </row>
    <row r="4" spans="1:21" s="218" customFormat="1" ht="24.95" customHeight="1">
      <c r="B4" s="1088" t="s">
        <v>54</v>
      </c>
      <c r="C4" s="1136" t="s">
        <v>86</v>
      </c>
      <c r="D4" s="1124" t="s">
        <v>59</v>
      </c>
      <c r="E4" s="1136" t="s">
        <v>94</v>
      </c>
      <c r="F4" s="1126"/>
      <c r="G4" s="1126"/>
      <c r="H4" s="1126" t="s">
        <v>83</v>
      </c>
      <c r="I4" s="1124" t="s">
        <v>59</v>
      </c>
      <c r="J4" s="1136" t="s">
        <v>72</v>
      </c>
      <c r="K4" s="1126"/>
      <c r="L4" s="1126" t="s">
        <v>83</v>
      </c>
      <c r="M4" s="1124" t="s">
        <v>59</v>
      </c>
      <c r="N4" s="976" t="s">
        <v>73</v>
      </c>
      <c r="O4" s="1099" t="s">
        <v>55</v>
      </c>
    </row>
    <row r="5" spans="1:21" s="218" customFormat="1" ht="24.95" customHeight="1">
      <c r="B5" s="1089"/>
      <c r="C5" s="1139"/>
      <c r="D5" s="1125"/>
      <c r="E5" s="840" t="s">
        <v>82</v>
      </c>
      <c r="F5" s="841" t="s">
        <v>84</v>
      </c>
      <c r="G5" s="841" t="s">
        <v>85</v>
      </c>
      <c r="H5" s="1127"/>
      <c r="I5" s="1125"/>
      <c r="J5" s="840" t="s">
        <v>82</v>
      </c>
      <c r="K5" s="841" t="s">
        <v>84</v>
      </c>
      <c r="L5" s="1127"/>
      <c r="M5" s="1125"/>
      <c r="N5" s="978"/>
      <c r="O5" s="1100"/>
    </row>
    <row r="6" spans="1:21" s="218" customFormat="1" ht="24.95" customHeight="1">
      <c r="B6" s="785" t="str">
        <f>부실벌점!B5</f>
        <v>oo엔지니어링</v>
      </c>
      <c r="C6" s="834">
        <f>'개발(000)'!J4</f>
        <v>0</v>
      </c>
      <c r="D6" s="1133">
        <f>C6*N6+C7*N7+C8*N8</f>
        <v>0.66500000000000004</v>
      </c>
      <c r="E6" s="834">
        <f>'개발(000)'!J12</f>
        <v>0</v>
      </c>
      <c r="F6" s="835">
        <f>'개발(000)'!J9</f>
        <v>2</v>
      </c>
      <c r="G6" s="835">
        <f>'개발(000)'!J6</f>
        <v>0</v>
      </c>
      <c r="H6" s="836">
        <f>(E6+F6*배점기준!$F$96+G6*배점기준!$G$96)*배점기준!$F$94</f>
        <v>1.6</v>
      </c>
      <c r="I6" s="1133">
        <f>H6*N6+H7*N7+H8*N8</f>
        <v>1.286</v>
      </c>
      <c r="J6" s="837">
        <f>'개발(000)'!J16</f>
        <v>0</v>
      </c>
      <c r="K6" s="835">
        <f>'개발(000)'!J14</f>
        <v>0</v>
      </c>
      <c r="L6" s="838">
        <f>(J6*배점기준!$E$97+K6*배점기준!$F$97)*배점기준!$G$94</f>
        <v>0</v>
      </c>
      <c r="M6" s="1130">
        <f>L6*N6+L8*N8</f>
        <v>0</v>
      </c>
      <c r="N6" s="839">
        <f>참여업체!B7</f>
        <v>0.42</v>
      </c>
      <c r="O6" s="1128">
        <f>IF((D6+I6+M6)&gt;=배점기준!$C$93,배점기준!$C$93,(D6+I6+M6))</f>
        <v>1.9510000000000001</v>
      </c>
    </row>
    <row r="7" spans="1:21" s="218" customFormat="1" ht="24.95" customHeight="1">
      <c r="B7" s="786" t="str">
        <f>부실벌점!B6</f>
        <v>＊＊엔지니어링</v>
      </c>
      <c r="C7" s="828">
        <f>'개발(0001)'!J4</f>
        <v>0.5</v>
      </c>
      <c r="D7" s="1134"/>
      <c r="E7" s="828">
        <f>'개발(0001)'!J10</f>
        <v>0</v>
      </c>
      <c r="F7" s="471">
        <f>'개발(0001)'!J8</f>
        <v>1</v>
      </c>
      <c r="G7" s="471">
        <f>'개발(0001)'!J6</f>
        <v>0</v>
      </c>
      <c r="H7" s="830">
        <f>(E7+F7*배점기준!$F$96+G7*배점기준!$G$96)*배점기준!$F$94</f>
        <v>0.8</v>
      </c>
      <c r="I7" s="1134"/>
      <c r="J7" s="470">
        <f>'개발(0001)'!J14</f>
        <v>0</v>
      </c>
      <c r="K7" s="471">
        <f>'개발(0001)'!J12</f>
        <v>0</v>
      </c>
      <c r="L7" s="832">
        <f>(J7*배점기준!$E$97+K7*배점기준!$F$97)*배점기준!$G$94</f>
        <v>0</v>
      </c>
      <c r="M7" s="1131"/>
      <c r="N7" s="469">
        <f>참여업체!C7</f>
        <v>0.33</v>
      </c>
      <c r="O7" s="1128"/>
    </row>
    <row r="8" spans="1:21" s="218" customFormat="1" ht="24.95" customHeight="1">
      <c r="B8" s="786" t="str">
        <f>부실벌점!B7</f>
        <v>☆☆엔지니어링</v>
      </c>
      <c r="C8" s="829">
        <f>'개발(0002)'!J4</f>
        <v>2</v>
      </c>
      <c r="D8" s="1135"/>
      <c r="E8" s="829">
        <f>'개발(0002)'!J10</f>
        <v>0</v>
      </c>
      <c r="F8" s="473">
        <f>'개발(0002)'!J8</f>
        <v>1</v>
      </c>
      <c r="G8" s="473">
        <f>'개발(0002)'!J6</f>
        <v>1</v>
      </c>
      <c r="H8" s="831">
        <f>(E8+F8*배점기준!$F$96+G8*배점기준!$G$96)*배점기준!$F$94</f>
        <v>1.4</v>
      </c>
      <c r="I8" s="1135"/>
      <c r="J8" s="472">
        <f>'개발(0002)'!J14</f>
        <v>0</v>
      </c>
      <c r="K8" s="473">
        <f>'개발(0002)'!J12</f>
        <v>0</v>
      </c>
      <c r="L8" s="833">
        <f>(J8*배점기준!$E$97+K8*배점기준!$F$97)*배점기준!$G$94</f>
        <v>0</v>
      </c>
      <c r="M8" s="1132"/>
      <c r="N8" s="369">
        <f>참여업체!D7</f>
        <v>0.25</v>
      </c>
      <c r="O8" s="1129"/>
    </row>
    <row r="9" spans="1:21" s="218" customFormat="1" ht="15" customHeight="1">
      <c r="U9" s="453"/>
    </row>
    <row r="10" spans="1:21" ht="24.95" customHeight="1">
      <c r="B10" s="401" t="s">
        <v>328</v>
      </c>
      <c r="C10" s="401"/>
      <c r="D10" s="365"/>
      <c r="E10" s="365"/>
      <c r="F10" s="365"/>
      <c r="G10" s="452"/>
      <c r="H10" s="365"/>
      <c r="I10" s="365"/>
      <c r="J10" s="365"/>
      <c r="K10" s="474"/>
      <c r="L10" s="474"/>
    </row>
    <row r="11" spans="1:21" ht="24.95" customHeight="1">
      <c r="B11" s="1106" t="s">
        <v>54</v>
      </c>
      <c r="C11" s="976" t="s">
        <v>211</v>
      </c>
      <c r="D11" s="1108" t="s">
        <v>99</v>
      </c>
      <c r="E11" s="1082"/>
      <c r="F11" s="1109" t="s">
        <v>60</v>
      </c>
      <c r="G11" s="1140" t="s">
        <v>151</v>
      </c>
      <c r="H11" s="1137" t="s">
        <v>73</v>
      </c>
      <c r="I11" s="1088" t="s">
        <v>70</v>
      </c>
      <c r="J11" s="1099" t="s">
        <v>55</v>
      </c>
      <c r="K11" s="474"/>
      <c r="L11" s="474"/>
    </row>
    <row r="12" spans="1:21" ht="24.95" customHeight="1">
      <c r="B12" s="1107"/>
      <c r="C12" s="978"/>
      <c r="D12" s="475" t="s">
        <v>107</v>
      </c>
      <c r="E12" s="476" t="s">
        <v>108</v>
      </c>
      <c r="F12" s="1110"/>
      <c r="G12" s="1141"/>
      <c r="H12" s="1138"/>
      <c r="I12" s="1089"/>
      <c r="J12" s="1100"/>
      <c r="K12" s="474"/>
      <c r="L12" s="474"/>
    </row>
    <row r="13" spans="1:21" ht="24.95" customHeight="1">
      <c r="B13" s="1117" t="str">
        <f>B6</f>
        <v>oo엔지니어링</v>
      </c>
      <c r="C13" s="477">
        <v>2012</v>
      </c>
      <c r="D13" s="822">
        <v>5268</v>
      </c>
      <c r="E13" s="823">
        <v>140278</v>
      </c>
      <c r="F13" s="478">
        <f t="shared" ref="F13:F21" si="0">IF(D13=0,"0",D13/E13)</f>
        <v>3.7553999914455578E-2</v>
      </c>
      <c r="G13" s="1102">
        <f>(F13+F14+F15)/3</f>
        <v>3.6042270835497124E-2</v>
      </c>
      <c r="H13" s="1101">
        <f>참여업체!B7</f>
        <v>0.42</v>
      </c>
      <c r="I13" s="1098">
        <f>G13*H13+G16*H16+G19*H19</f>
        <v>3.9058943480552062E-2</v>
      </c>
      <c r="J13" s="1097">
        <f>IF(I13&gt;=배점기준!$E$98,배점기준!$E$99,IF(I13&gt;=배점기준!$F$98,배점기준!$F$99,IF(I13&gt;=배점기준!$G$98,배점기준!$G$99,IF(I13&gt;=배점기준!$H$98,배점기준!$H$99,IF(I13&lt;배점기준!$I$98,배점기준!$I$99)))))</f>
        <v>8</v>
      </c>
      <c r="K13" s="474"/>
      <c r="L13" s="474"/>
    </row>
    <row r="14" spans="1:21" ht="24.95" customHeight="1">
      <c r="B14" s="1117"/>
      <c r="C14" s="477">
        <v>2013</v>
      </c>
      <c r="D14" s="824">
        <v>5556</v>
      </c>
      <c r="E14" s="825">
        <v>140506</v>
      </c>
      <c r="F14" s="478">
        <f t="shared" si="0"/>
        <v>3.9542795325466527E-2</v>
      </c>
      <c r="G14" s="1102"/>
      <c r="H14" s="1101"/>
      <c r="I14" s="1098"/>
      <c r="J14" s="1097"/>
      <c r="K14" s="474"/>
      <c r="L14" s="474"/>
    </row>
    <row r="15" spans="1:21" ht="24.95" customHeight="1">
      <c r="B15" s="1117"/>
      <c r="C15" s="477">
        <v>2014</v>
      </c>
      <c r="D15" s="826">
        <v>3738</v>
      </c>
      <c r="E15" s="827">
        <v>120464</v>
      </c>
      <c r="F15" s="478">
        <f t="shared" si="0"/>
        <v>3.1030017266569267E-2</v>
      </c>
      <c r="G15" s="1102"/>
      <c r="H15" s="1101"/>
      <c r="I15" s="1098"/>
      <c r="J15" s="1097"/>
      <c r="K15" s="474"/>
      <c r="L15" s="474"/>
    </row>
    <row r="16" spans="1:21" ht="24.95" customHeight="1">
      <c r="B16" s="1117" t="str">
        <f>B7</f>
        <v>＊＊엔지니어링</v>
      </c>
      <c r="C16" s="477">
        <v>2012</v>
      </c>
      <c r="D16" s="479">
        <v>1761</v>
      </c>
      <c r="E16" s="479">
        <v>48107</v>
      </c>
      <c r="F16" s="478">
        <f t="shared" si="0"/>
        <v>3.6605899349367033E-2</v>
      </c>
      <c r="G16" s="1102">
        <f>(F16+F17+F18)/3</f>
        <v>3.4557549320889634E-2</v>
      </c>
      <c r="H16" s="1121">
        <v>0.33</v>
      </c>
      <c r="I16" s="1098"/>
      <c r="J16" s="1097"/>
      <c r="K16" s="474"/>
      <c r="L16" s="474"/>
    </row>
    <row r="17" spans="1:21" ht="24.95" customHeight="1">
      <c r="B17" s="1117"/>
      <c r="C17" s="477">
        <v>2013</v>
      </c>
      <c r="D17" s="480">
        <v>1587</v>
      </c>
      <c r="E17" s="480">
        <v>45360</v>
      </c>
      <c r="F17" s="478">
        <f t="shared" si="0"/>
        <v>3.498677248677249E-2</v>
      </c>
      <c r="G17" s="1102"/>
      <c r="H17" s="1122"/>
      <c r="I17" s="1098"/>
      <c r="J17" s="1097"/>
      <c r="K17" s="474"/>
      <c r="L17" s="474"/>
    </row>
    <row r="18" spans="1:21" ht="24.95" customHeight="1">
      <c r="B18" s="1117"/>
      <c r="C18" s="477">
        <v>2014</v>
      </c>
      <c r="D18" s="481">
        <v>1505</v>
      </c>
      <c r="E18" s="481">
        <v>46914</v>
      </c>
      <c r="F18" s="478">
        <f t="shared" si="0"/>
        <v>3.2079976126529394E-2</v>
      </c>
      <c r="G18" s="1102"/>
      <c r="H18" s="1123"/>
      <c r="I18" s="1098"/>
      <c r="J18" s="1097"/>
      <c r="K18" s="474"/>
      <c r="L18" s="474"/>
    </row>
    <row r="19" spans="1:21" ht="24.95" customHeight="1">
      <c r="B19" s="1117" t="str">
        <f>B8</f>
        <v>☆☆엔지니어링</v>
      </c>
      <c r="C19" s="477">
        <v>2012</v>
      </c>
      <c r="D19" s="482">
        <v>7548</v>
      </c>
      <c r="E19" s="483">
        <v>150287</v>
      </c>
      <c r="F19" s="478">
        <f t="shared" si="0"/>
        <v>5.0223904928570005E-2</v>
      </c>
      <c r="G19" s="1102">
        <f>(F19+F20+F21)/3</f>
        <v>5.0068793814998763E-2</v>
      </c>
      <c r="H19" s="1101">
        <v>0.25</v>
      </c>
      <c r="I19" s="1098"/>
      <c r="J19" s="1097"/>
      <c r="K19" s="474"/>
      <c r="L19" s="474"/>
    </row>
    <row r="20" spans="1:21" ht="24.95" customHeight="1">
      <c r="B20" s="1117"/>
      <c r="C20" s="477">
        <v>2013</v>
      </c>
      <c r="D20" s="480">
        <v>7695</v>
      </c>
      <c r="E20" s="480">
        <v>153835</v>
      </c>
      <c r="F20" s="478">
        <f t="shared" si="0"/>
        <v>5.0021126531673545E-2</v>
      </c>
      <c r="G20" s="1102"/>
      <c r="H20" s="1101"/>
      <c r="I20" s="1098"/>
      <c r="J20" s="1097"/>
      <c r="K20" s="474"/>
      <c r="L20" s="474"/>
    </row>
    <row r="21" spans="1:21" ht="24.95" customHeight="1">
      <c r="B21" s="1117"/>
      <c r="C21" s="477">
        <v>2014</v>
      </c>
      <c r="D21" s="484">
        <v>7045</v>
      </c>
      <c r="E21" s="485">
        <v>141009</v>
      </c>
      <c r="F21" s="478">
        <f t="shared" si="0"/>
        <v>4.9961349984752747E-2</v>
      </c>
      <c r="G21" s="1102"/>
      <c r="H21" s="1101"/>
      <c r="I21" s="1098"/>
      <c r="J21" s="1097"/>
      <c r="K21" s="474"/>
      <c r="L21" s="474"/>
    </row>
    <row r="22" spans="1:21" ht="15" customHeight="1">
      <c r="J22" s="454"/>
      <c r="K22" s="474"/>
      <c r="L22" s="474"/>
    </row>
    <row r="23" spans="1:21" ht="24.95" customHeight="1">
      <c r="B23" s="401" t="s">
        <v>171</v>
      </c>
      <c r="C23" s="401"/>
      <c r="D23" s="365"/>
      <c r="E23" s="365"/>
      <c r="F23" s="365"/>
      <c r="G23" s="365"/>
      <c r="H23" s="365"/>
      <c r="I23" s="365"/>
      <c r="J23" s="365"/>
      <c r="K23" s="365"/>
      <c r="L23" s="365"/>
    </row>
    <row r="24" spans="1:21" ht="24.95" customHeight="1">
      <c r="B24" s="1088" t="s">
        <v>54</v>
      </c>
      <c r="C24" s="1119" t="s">
        <v>86</v>
      </c>
      <c r="D24" s="1120"/>
      <c r="E24" s="1080" t="s">
        <v>94</v>
      </c>
      <c r="F24" s="1118"/>
      <c r="G24" s="1080" t="s">
        <v>72</v>
      </c>
      <c r="H24" s="1082"/>
      <c r="I24" s="976" t="s">
        <v>73</v>
      </c>
      <c r="J24" s="1099" t="s">
        <v>55</v>
      </c>
      <c r="S24" s="455"/>
      <c r="U24" s="207"/>
    </row>
    <row r="25" spans="1:21" ht="24.95" customHeight="1">
      <c r="B25" s="1089"/>
      <c r="C25" s="475" t="s">
        <v>59</v>
      </c>
      <c r="D25" s="486" t="s">
        <v>83</v>
      </c>
      <c r="E25" s="487" t="s">
        <v>59</v>
      </c>
      <c r="F25" s="486" t="s">
        <v>83</v>
      </c>
      <c r="G25" s="466" t="s">
        <v>59</v>
      </c>
      <c r="H25" s="476" t="s">
        <v>83</v>
      </c>
      <c r="I25" s="978"/>
      <c r="J25" s="1100"/>
      <c r="S25" s="455"/>
      <c r="U25" s="207"/>
    </row>
    <row r="26" spans="1:21" ht="24.95" customHeight="1">
      <c r="B26" s="468" t="str">
        <f>B6</f>
        <v>oo엔지니어링</v>
      </c>
      <c r="C26" s="488">
        <f>'활용(000)'!J6</f>
        <v>2.9</v>
      </c>
      <c r="D26" s="1111">
        <f>C26*I26+C27*L27+C28*I28</f>
        <v>2.6929999999999996</v>
      </c>
      <c r="E26" s="489">
        <f>'활용(000)'!J8</f>
        <v>0.36</v>
      </c>
      <c r="F26" s="1114">
        <f>E26*I26+E28*I28</f>
        <v>0.1512</v>
      </c>
      <c r="G26" s="489">
        <f>'활용(000)'!J10</f>
        <v>0</v>
      </c>
      <c r="H26" s="1103">
        <f>G26*I26+G28*I28</f>
        <v>0</v>
      </c>
      <c r="I26" s="469">
        <f>참여업체!B7</f>
        <v>0.42</v>
      </c>
      <c r="J26" s="1095">
        <f>IF((D26+F26+H26)&gt;=배점기준!$C$100,배점기준!$C$100,(D26+F26+H26))</f>
        <v>2.8441999999999998</v>
      </c>
      <c r="S26" s="455"/>
      <c r="U26" s="207"/>
    </row>
    <row r="27" spans="1:21" ht="24.95" customHeight="1">
      <c r="B27" s="456" t="str">
        <f>B7</f>
        <v>＊＊엔지니어링</v>
      </c>
      <c r="C27" s="488">
        <f>'활용(0001)'!J10</f>
        <v>5.5</v>
      </c>
      <c r="D27" s="1112"/>
      <c r="E27" s="489">
        <f>'활용(0001)'!J12</f>
        <v>0</v>
      </c>
      <c r="F27" s="1115"/>
      <c r="G27" s="489">
        <f>'활용(0001)'!J14</f>
        <v>0</v>
      </c>
      <c r="H27" s="1104"/>
      <c r="I27" s="469">
        <f>참여업체!C7</f>
        <v>0.33</v>
      </c>
      <c r="J27" s="1078"/>
      <c r="S27" s="455"/>
      <c r="U27" s="207"/>
    </row>
    <row r="28" spans="1:21" ht="24.95" customHeight="1">
      <c r="B28" s="456" t="str">
        <f>B8</f>
        <v>☆☆엔지니어링</v>
      </c>
      <c r="C28" s="490">
        <f>'활용(0002)'!J12</f>
        <v>5.8999999999999995</v>
      </c>
      <c r="D28" s="1113"/>
      <c r="E28" s="489">
        <f>'활용(0002)'!J14</f>
        <v>0</v>
      </c>
      <c r="F28" s="1116"/>
      <c r="G28" s="489">
        <f>'활용(0002)'!J16</f>
        <v>0</v>
      </c>
      <c r="H28" s="1105"/>
      <c r="I28" s="369">
        <f>참여업체!D7</f>
        <v>0.25</v>
      </c>
      <c r="J28" s="1096"/>
      <c r="S28" s="455"/>
      <c r="U28" s="207"/>
    </row>
    <row r="29" spans="1:21" ht="24.95" customHeight="1"/>
    <row r="30" spans="1:21" ht="15.95" customHeight="1">
      <c r="B30" s="372"/>
      <c r="J30" s="454"/>
      <c r="K30" s="474"/>
      <c r="L30" s="474"/>
    </row>
    <row r="31" spans="1:21" ht="15.95" customHeight="1">
      <c r="A31" s="34" t="s">
        <v>204</v>
      </c>
      <c r="B31" s="35" t="s">
        <v>202</v>
      </c>
      <c r="C31" s="35"/>
      <c r="D31" s="390"/>
      <c r="E31" s="390"/>
      <c r="J31" s="454"/>
      <c r="K31" s="474"/>
      <c r="L31" s="474"/>
    </row>
    <row r="32" spans="1:21" ht="15.95" customHeight="1">
      <c r="A32" s="390"/>
      <c r="B32" s="35" t="s">
        <v>203</v>
      </c>
      <c r="C32" s="35"/>
      <c r="D32" s="390"/>
      <c r="E32" s="390"/>
      <c r="J32" s="454"/>
      <c r="K32" s="474"/>
      <c r="L32" s="474"/>
    </row>
    <row r="33" spans="2:12" ht="15.95" customHeight="1">
      <c r="B33" s="393" t="s">
        <v>201</v>
      </c>
      <c r="C33" s="393"/>
      <c r="J33" s="454"/>
      <c r="K33" s="491"/>
      <c r="L33" s="491"/>
    </row>
    <row r="34" spans="2:12" ht="15.95" customHeight="1">
      <c r="J34" s="454"/>
      <c r="K34" s="491"/>
    </row>
    <row r="35" spans="2:12" ht="15.95" customHeight="1">
      <c r="J35" s="454"/>
      <c r="K35" s="491"/>
    </row>
    <row r="36" spans="2:12" ht="15.95" customHeight="1">
      <c r="J36" s="454"/>
      <c r="K36" s="491"/>
    </row>
    <row r="37" spans="2:12" ht="15.95" customHeight="1">
      <c r="J37" s="454"/>
      <c r="K37" s="491"/>
    </row>
    <row r="38" spans="2:12" ht="15.95" customHeight="1">
      <c r="J38" s="454"/>
      <c r="K38" s="491"/>
    </row>
    <row r="39" spans="2:12" ht="15.95" customHeight="1">
      <c r="J39" s="454"/>
      <c r="K39" s="491"/>
    </row>
    <row r="40" spans="2:12" ht="15.95" customHeight="1">
      <c r="J40" s="454"/>
      <c r="K40" s="491"/>
    </row>
    <row r="41" spans="2:12" ht="15.95" customHeight="1">
      <c r="J41" s="454"/>
      <c r="K41" s="491"/>
    </row>
    <row r="42" spans="2:12" ht="15.95" customHeight="1">
      <c r="J42" s="454"/>
      <c r="K42" s="491"/>
    </row>
    <row r="43" spans="2:12" ht="15.95" customHeight="1">
      <c r="J43" s="454"/>
      <c r="K43" s="491"/>
    </row>
    <row r="44" spans="2:12" ht="15.95" customHeight="1">
      <c r="J44" s="454"/>
      <c r="K44" s="491"/>
    </row>
    <row r="45" spans="2:12" ht="15.95" customHeight="1">
      <c r="J45" s="454"/>
      <c r="K45" s="491"/>
    </row>
    <row r="46" spans="2:12" ht="15.95" customHeight="1">
      <c r="J46" s="454"/>
      <c r="K46" s="491"/>
    </row>
    <row r="47" spans="2:12" ht="15.95" customHeight="1">
      <c r="J47" s="454"/>
      <c r="K47" s="491"/>
    </row>
    <row r="48" spans="2:12" ht="15.95" customHeight="1">
      <c r="J48" s="454"/>
      <c r="K48" s="491"/>
    </row>
    <row r="49" spans="10:11" ht="15.95" customHeight="1">
      <c r="J49" s="454"/>
      <c r="K49" s="491"/>
    </row>
    <row r="50" spans="10:11" ht="15.95" customHeight="1">
      <c r="J50" s="454"/>
      <c r="K50" s="491"/>
    </row>
    <row r="51" spans="10:11" ht="15.95" customHeight="1">
      <c r="J51" s="454"/>
      <c r="K51" s="491"/>
    </row>
    <row r="52" spans="10:11" ht="15.95" customHeight="1">
      <c r="J52" s="454"/>
      <c r="K52" s="491"/>
    </row>
    <row r="53" spans="10:11" ht="15.95" customHeight="1">
      <c r="J53" s="454"/>
      <c r="K53" s="491"/>
    </row>
    <row r="54" spans="10:11" ht="15.95" customHeight="1">
      <c r="J54" s="454"/>
      <c r="K54" s="491"/>
    </row>
    <row r="55" spans="10:11" ht="15.95" customHeight="1">
      <c r="J55" s="454"/>
      <c r="K55" s="491"/>
    </row>
    <row r="56" spans="10:11" ht="15.95" customHeight="1">
      <c r="J56" s="454"/>
      <c r="K56" s="491"/>
    </row>
    <row r="57" spans="10:11" ht="15.95" customHeight="1">
      <c r="J57" s="454"/>
      <c r="K57" s="491"/>
    </row>
    <row r="58" spans="10:11" ht="15.95" customHeight="1">
      <c r="J58" s="454"/>
      <c r="K58" s="491"/>
    </row>
  </sheetData>
  <protectedRanges>
    <protectedRange password="CF2F" sqref="D13:E13" name="범위1_1"/>
    <protectedRange password="CF2F" sqref="D16:E18" name="범위1_1_1"/>
  </protectedRanges>
  <mergeCells count="44">
    <mergeCell ref="B4:B5"/>
    <mergeCell ref="C4:C5"/>
    <mergeCell ref="D4:D5"/>
    <mergeCell ref="G13:G15"/>
    <mergeCell ref="E4:G4"/>
    <mergeCell ref="C11:C12"/>
    <mergeCell ref="G11:G12"/>
    <mergeCell ref="C24:D24"/>
    <mergeCell ref="H16:H18"/>
    <mergeCell ref="I4:I5"/>
    <mergeCell ref="H4:H5"/>
    <mergeCell ref="O6:O8"/>
    <mergeCell ref="M6:M8"/>
    <mergeCell ref="I6:I8"/>
    <mergeCell ref="O4:O5"/>
    <mergeCell ref="J4:K4"/>
    <mergeCell ref="L4:L5"/>
    <mergeCell ref="M4:M5"/>
    <mergeCell ref="N4:N5"/>
    <mergeCell ref="J11:J12"/>
    <mergeCell ref="I11:I12"/>
    <mergeCell ref="D6:D8"/>
    <mergeCell ref="H11:H12"/>
    <mergeCell ref="H13:H15"/>
    <mergeCell ref="G16:G18"/>
    <mergeCell ref="H26:H28"/>
    <mergeCell ref="B11:B12"/>
    <mergeCell ref="D11:E11"/>
    <mergeCell ref="F11:F12"/>
    <mergeCell ref="D26:D28"/>
    <mergeCell ref="F26:F28"/>
    <mergeCell ref="B13:B15"/>
    <mergeCell ref="B19:B21"/>
    <mergeCell ref="G19:G21"/>
    <mergeCell ref="B16:B18"/>
    <mergeCell ref="B24:B25"/>
    <mergeCell ref="E24:F24"/>
    <mergeCell ref="G24:H24"/>
    <mergeCell ref="H19:H21"/>
    <mergeCell ref="J26:J28"/>
    <mergeCell ref="J13:J21"/>
    <mergeCell ref="I13:I21"/>
    <mergeCell ref="J24:J25"/>
    <mergeCell ref="I24:I25"/>
  </mergeCells>
  <phoneticPr fontId="2" type="noConversion"/>
  <pageMargins left="0.74803149606299213" right="0.74803149606299213" top="1.08" bottom="0.78740157480314965" header="0.51181102362204722" footer="0.51181102362204722"/>
  <pageSetup paperSize="9" scale="68" orientation="landscape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16"/>
  <sheetViews>
    <sheetView view="pageBreakPreview" zoomScaleSheetLayoutView="100" workbookViewId="0">
      <selection activeCell="H2" sqref="H2"/>
    </sheetView>
  </sheetViews>
  <sheetFormatPr defaultRowHeight="13.5"/>
  <cols>
    <col min="1" max="1" width="14.44140625" style="207" bestFit="1" customWidth="1"/>
    <col min="2" max="2" width="7.21875" style="207" customWidth="1"/>
    <col min="3" max="3" width="12.88671875" style="207" customWidth="1"/>
    <col min="4" max="4" width="31.109375" style="207" customWidth="1"/>
    <col min="5" max="5" width="7.33203125" style="207" customWidth="1"/>
    <col min="6" max="6" width="5.5546875" style="207" customWidth="1"/>
    <col min="7" max="7" width="13.77734375" style="207" customWidth="1"/>
    <col min="8" max="8" width="11.33203125" style="207" customWidth="1"/>
    <col min="9" max="9" width="10.21875" style="207" customWidth="1"/>
    <col min="10" max="10" width="5.88671875" style="207" customWidth="1"/>
    <col min="11" max="16384" width="8.88671875" style="207"/>
  </cols>
  <sheetData>
    <row r="1" spans="1:10" ht="20.25" thickBot="1">
      <c r="A1" s="725" t="str">
        <f>'[1]개발(동일)'!A1</f>
        <v>▣ 개발실적</v>
      </c>
      <c r="B1" s="725"/>
      <c r="C1" s="725" t="str">
        <f>기술투자!B6</f>
        <v>oo엔지니어링</v>
      </c>
      <c r="D1" s="95"/>
      <c r="E1" s="95"/>
      <c r="F1" s="3"/>
      <c r="G1" s="125" t="s">
        <v>386</v>
      </c>
      <c r="H1" s="162">
        <v>44835</v>
      </c>
      <c r="I1" s="94"/>
      <c r="J1" s="3"/>
    </row>
    <row r="2" spans="1:10" ht="24">
      <c r="A2" s="462" t="s">
        <v>177</v>
      </c>
      <c r="B2" s="464" t="s">
        <v>178</v>
      </c>
      <c r="C2" s="464" t="s">
        <v>179</v>
      </c>
      <c r="D2" s="464" t="s">
        <v>387</v>
      </c>
      <c r="E2" s="464" t="s">
        <v>388</v>
      </c>
      <c r="F2" s="464" t="s">
        <v>389</v>
      </c>
      <c r="G2" s="464" t="s">
        <v>390</v>
      </c>
      <c r="H2" s="464" t="s">
        <v>180</v>
      </c>
      <c r="I2" s="464" t="s">
        <v>181</v>
      </c>
      <c r="J2" s="465" t="s">
        <v>144</v>
      </c>
    </row>
    <row r="3" spans="1:10" ht="22.5" customHeight="1">
      <c r="A3" s="180" t="s">
        <v>391</v>
      </c>
      <c r="B3" s="75"/>
      <c r="C3" s="75"/>
      <c r="D3" s="75"/>
      <c r="E3" s="87"/>
      <c r="F3" s="88"/>
      <c r="G3" s="89"/>
      <c r="H3" s="90"/>
      <c r="I3" s="91"/>
      <c r="J3" s="126"/>
    </row>
    <row r="4" spans="1:10" ht="22.5" customHeight="1">
      <c r="A4" s="1142" t="s">
        <v>392</v>
      </c>
      <c r="B4" s="1143"/>
      <c r="C4" s="1143"/>
      <c r="D4" s="1143"/>
      <c r="E4" s="1143"/>
      <c r="F4" s="1143"/>
      <c r="G4" s="1143"/>
      <c r="H4" s="1143"/>
      <c r="I4" s="1144"/>
      <c r="J4" s="127">
        <f>SUM(J3:J3)</f>
        <v>0</v>
      </c>
    </row>
    <row r="5" spans="1:10" ht="22.5" customHeight="1">
      <c r="A5" s="180" t="s">
        <v>393</v>
      </c>
      <c r="B5" s="75"/>
      <c r="C5" s="75"/>
      <c r="D5" s="75"/>
      <c r="E5" s="87"/>
      <c r="F5" s="92"/>
      <c r="G5" s="89"/>
      <c r="H5" s="90"/>
      <c r="I5" s="91"/>
      <c r="J5" s="126"/>
    </row>
    <row r="6" spans="1:10" ht="22.5" customHeight="1">
      <c r="A6" s="1142" t="s">
        <v>394</v>
      </c>
      <c r="B6" s="1143"/>
      <c r="C6" s="1143"/>
      <c r="D6" s="1143"/>
      <c r="E6" s="1143"/>
      <c r="F6" s="1143"/>
      <c r="G6" s="1143"/>
      <c r="H6" s="1143"/>
      <c r="I6" s="1144"/>
      <c r="J6" s="127">
        <f>SUM(J5:J5)</f>
        <v>0</v>
      </c>
    </row>
    <row r="7" spans="1:10" ht="75" customHeight="1">
      <c r="A7" s="163" t="s">
        <v>395</v>
      </c>
      <c r="B7" s="159">
        <v>1</v>
      </c>
      <c r="C7" s="154" t="s">
        <v>575</v>
      </c>
      <c r="D7" s="158" t="s">
        <v>575</v>
      </c>
      <c r="E7" s="164" t="s">
        <v>575</v>
      </c>
      <c r="F7" s="165">
        <v>1</v>
      </c>
      <c r="G7" s="166">
        <v>39850</v>
      </c>
      <c r="H7" s="167">
        <f>$H$1-G7</f>
        <v>4985</v>
      </c>
      <c r="I7" s="167">
        <v>47155</v>
      </c>
      <c r="J7" s="168">
        <f>1/F7</f>
        <v>1</v>
      </c>
    </row>
    <row r="8" spans="1:10" ht="75" customHeight="1">
      <c r="A8" s="163" t="s">
        <v>396</v>
      </c>
      <c r="B8" s="159">
        <v>2</v>
      </c>
      <c r="C8" s="154" t="s">
        <v>575</v>
      </c>
      <c r="D8" s="158" t="s">
        <v>575</v>
      </c>
      <c r="E8" s="164" t="s">
        <v>575</v>
      </c>
      <c r="F8" s="165">
        <v>1</v>
      </c>
      <c r="G8" s="166">
        <v>39850</v>
      </c>
      <c r="H8" s="167">
        <f>$H$1-G8</f>
        <v>4985</v>
      </c>
      <c r="I8" s="167">
        <v>47155</v>
      </c>
      <c r="J8" s="168">
        <f>1/F8</f>
        <v>1</v>
      </c>
    </row>
    <row r="9" spans="1:10" ht="22.5" customHeight="1">
      <c r="A9" s="1142" t="s">
        <v>397</v>
      </c>
      <c r="B9" s="1143"/>
      <c r="C9" s="1143"/>
      <c r="D9" s="1143"/>
      <c r="E9" s="1143"/>
      <c r="F9" s="1143"/>
      <c r="G9" s="1143"/>
      <c r="H9" s="1143"/>
      <c r="I9" s="1144"/>
      <c r="J9" s="127">
        <f>SUM(J7:J8)</f>
        <v>2</v>
      </c>
    </row>
    <row r="10" spans="1:10" ht="75" customHeight="1">
      <c r="A10" s="163"/>
      <c r="B10" s="159"/>
      <c r="C10" s="154"/>
      <c r="D10" s="158"/>
      <c r="E10" s="164"/>
      <c r="F10" s="165"/>
      <c r="G10" s="166"/>
      <c r="H10" s="167"/>
      <c r="I10" s="167"/>
      <c r="J10" s="168"/>
    </row>
    <row r="11" spans="1:10" ht="123.75" customHeight="1">
      <c r="A11" s="163"/>
      <c r="B11" s="159"/>
      <c r="C11" s="154"/>
      <c r="D11" s="158"/>
      <c r="E11" s="164"/>
      <c r="F11" s="165"/>
      <c r="G11" s="166"/>
      <c r="H11" s="167"/>
      <c r="I11" s="167"/>
      <c r="J11" s="168"/>
    </row>
    <row r="12" spans="1:10" ht="22.5" customHeight="1">
      <c r="A12" s="1142" t="s">
        <v>546</v>
      </c>
      <c r="B12" s="1143"/>
      <c r="C12" s="1143"/>
      <c r="D12" s="1143"/>
      <c r="E12" s="1143"/>
      <c r="F12" s="1143"/>
      <c r="G12" s="1143"/>
      <c r="H12" s="1143"/>
      <c r="I12" s="1144"/>
      <c r="J12" s="127">
        <f>SUM(J10:J11)</f>
        <v>0</v>
      </c>
    </row>
    <row r="13" spans="1:10" ht="22.5" customHeight="1">
      <c r="A13" s="180" t="s">
        <v>547</v>
      </c>
      <c r="B13" s="75"/>
      <c r="C13" s="75"/>
      <c r="D13" s="75"/>
      <c r="E13" s="87"/>
      <c r="F13" s="92"/>
      <c r="G13" s="89"/>
      <c r="H13" s="90"/>
      <c r="I13" s="91"/>
      <c r="J13" s="126"/>
    </row>
    <row r="14" spans="1:10" ht="22.5" customHeight="1">
      <c r="A14" s="1142" t="s">
        <v>548</v>
      </c>
      <c r="B14" s="1143"/>
      <c r="C14" s="1143"/>
      <c r="D14" s="1143"/>
      <c r="E14" s="1143"/>
      <c r="F14" s="1143"/>
      <c r="G14" s="1143"/>
      <c r="H14" s="1143"/>
      <c r="I14" s="1144"/>
      <c r="J14" s="127">
        <f>SUM(J13:J13)</f>
        <v>0</v>
      </c>
    </row>
    <row r="15" spans="1:10" ht="22.5" customHeight="1">
      <c r="A15" s="180" t="s">
        <v>186</v>
      </c>
      <c r="B15" s="75"/>
      <c r="C15" s="75"/>
      <c r="D15" s="75"/>
      <c r="E15" s="87"/>
      <c r="F15" s="92"/>
      <c r="G15" s="89"/>
      <c r="H15" s="90"/>
      <c r="I15" s="91"/>
      <c r="J15" s="126"/>
    </row>
    <row r="16" spans="1:10" ht="22.5" customHeight="1" thickBot="1">
      <c r="A16" s="1145" t="s">
        <v>225</v>
      </c>
      <c r="B16" s="1146"/>
      <c r="C16" s="1146"/>
      <c r="D16" s="1146"/>
      <c r="E16" s="1146"/>
      <c r="F16" s="1146"/>
      <c r="G16" s="1146"/>
      <c r="H16" s="1146"/>
      <c r="I16" s="1147"/>
      <c r="J16" s="128">
        <f>SUM(J15:J15)</f>
        <v>0</v>
      </c>
    </row>
  </sheetData>
  <mergeCells count="6">
    <mergeCell ref="A14:I14"/>
    <mergeCell ref="A16:I16"/>
    <mergeCell ref="A4:I4"/>
    <mergeCell ref="A6:I6"/>
    <mergeCell ref="A9:I9"/>
    <mergeCell ref="A12:I12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L124"/>
  <sheetViews>
    <sheetView view="pageBreakPreview" zoomScale="85" zoomScaleNormal="115" workbookViewId="0">
      <selection activeCell="H2" sqref="H2"/>
    </sheetView>
  </sheetViews>
  <sheetFormatPr defaultRowHeight="12" customHeight="1"/>
  <cols>
    <col min="1" max="1" width="14.6640625" style="18" customWidth="1"/>
    <col min="2" max="2" width="5.33203125" style="14" customWidth="1"/>
    <col min="3" max="3" width="17.88671875" style="14" customWidth="1"/>
    <col min="4" max="4" width="35.88671875" style="14" customWidth="1"/>
    <col min="5" max="5" width="13.44140625" style="14" customWidth="1"/>
    <col min="6" max="6" width="5.44140625" style="15" customWidth="1"/>
    <col min="7" max="7" width="10.5546875" style="22" customWidth="1"/>
    <col min="8" max="8" width="10.6640625" style="22" customWidth="1"/>
    <col min="9" max="9" width="10.5546875" style="16" customWidth="1"/>
    <col min="10" max="10" width="8.5546875" style="17" customWidth="1"/>
    <col min="11" max="16384" width="8.88671875" style="10"/>
  </cols>
  <sheetData>
    <row r="1" spans="1:12" s="7" customFormat="1" ht="30" customHeight="1" thickBot="1">
      <c r="A1" s="95" t="s">
        <v>487</v>
      </c>
      <c r="B1" s="96"/>
      <c r="C1" s="95" t="str">
        <f>기술투자!B7</f>
        <v>＊＊엔지니어링</v>
      </c>
      <c r="D1" s="95"/>
      <c r="E1" s="95"/>
      <c r="F1" s="94"/>
      <c r="G1" s="125" t="s">
        <v>488</v>
      </c>
      <c r="H1" s="463">
        <v>44835</v>
      </c>
      <c r="I1" s="3"/>
      <c r="J1" s="3"/>
      <c r="K1" s="6"/>
      <c r="L1" s="6"/>
    </row>
    <row r="2" spans="1:12" s="8" customFormat="1" ht="35.1" customHeight="1">
      <c r="A2" s="462" t="s">
        <v>177</v>
      </c>
      <c r="B2" s="464" t="s">
        <v>178</v>
      </c>
      <c r="C2" s="464" t="s">
        <v>179</v>
      </c>
      <c r="D2" s="464" t="s">
        <v>489</v>
      </c>
      <c r="E2" s="464" t="s">
        <v>182</v>
      </c>
      <c r="F2" s="464" t="s">
        <v>183</v>
      </c>
      <c r="G2" s="464" t="s">
        <v>185</v>
      </c>
      <c r="H2" s="464" t="s">
        <v>180</v>
      </c>
      <c r="I2" s="464" t="s">
        <v>181</v>
      </c>
      <c r="J2" s="465" t="s">
        <v>144</v>
      </c>
    </row>
    <row r="3" spans="1:12" s="9" customFormat="1" ht="106.5" customHeight="1">
      <c r="A3" s="180" t="s">
        <v>222</v>
      </c>
      <c r="B3" s="75">
        <v>1</v>
      </c>
      <c r="C3" s="61" t="s">
        <v>535</v>
      </c>
      <c r="D3" s="53" t="s">
        <v>541</v>
      </c>
      <c r="E3" s="129" t="s">
        <v>536</v>
      </c>
      <c r="F3" s="92">
        <v>4</v>
      </c>
      <c r="G3" s="89">
        <v>40977</v>
      </c>
      <c r="H3" s="90">
        <f>$H$1-G3</f>
        <v>3858</v>
      </c>
      <c r="I3" s="91">
        <v>42802</v>
      </c>
      <c r="J3" s="126">
        <f>2/F3</f>
        <v>0.5</v>
      </c>
    </row>
    <row r="4" spans="1:12" s="101" customFormat="1" ht="35.1" customHeight="1">
      <c r="A4" s="1142" t="s">
        <v>184</v>
      </c>
      <c r="B4" s="1143"/>
      <c r="C4" s="1143"/>
      <c r="D4" s="1143"/>
      <c r="E4" s="1143"/>
      <c r="F4" s="1143"/>
      <c r="G4" s="1143"/>
      <c r="H4" s="1143"/>
      <c r="I4" s="1144"/>
      <c r="J4" s="127">
        <f>SUM(J3:J3)</f>
        <v>0.5</v>
      </c>
    </row>
    <row r="5" spans="1:12" s="9" customFormat="1" ht="35.1" customHeight="1">
      <c r="A5" s="180" t="s">
        <v>490</v>
      </c>
      <c r="B5" s="75"/>
      <c r="C5" s="75"/>
      <c r="D5" s="75" t="s">
        <v>540</v>
      </c>
      <c r="E5" s="87"/>
      <c r="F5" s="88"/>
      <c r="G5" s="89"/>
      <c r="H5" s="90"/>
      <c r="I5" s="91"/>
      <c r="J5" s="126"/>
    </row>
    <row r="6" spans="1:12" s="102" customFormat="1" ht="35.1" customHeight="1">
      <c r="A6" s="1142" t="s">
        <v>491</v>
      </c>
      <c r="B6" s="1143"/>
      <c r="C6" s="1143"/>
      <c r="D6" s="1143"/>
      <c r="E6" s="1143"/>
      <c r="F6" s="1143"/>
      <c r="G6" s="1143"/>
      <c r="H6" s="1143"/>
      <c r="I6" s="1144"/>
      <c r="J6" s="127">
        <f>SUM(J5:J5)</f>
        <v>0</v>
      </c>
    </row>
    <row r="7" spans="1:12" ht="276.75" customHeight="1">
      <c r="A7" s="180" t="s">
        <v>539</v>
      </c>
      <c r="B7" s="75">
        <v>1</v>
      </c>
      <c r="C7" s="61" t="s">
        <v>567</v>
      </c>
      <c r="D7" s="172" t="s">
        <v>567</v>
      </c>
      <c r="E7" s="87" t="s">
        <v>567</v>
      </c>
      <c r="F7" s="92">
        <v>1</v>
      </c>
      <c r="G7" s="173">
        <v>38845</v>
      </c>
      <c r="H7" s="90">
        <f t="shared" ref="H7" si="0">$H$1-G7</f>
        <v>5990</v>
      </c>
      <c r="I7" s="91">
        <v>46150</v>
      </c>
      <c r="J7" s="126">
        <f t="shared" ref="J7" si="1">1/F7</f>
        <v>1</v>
      </c>
    </row>
    <row r="8" spans="1:12" s="102" customFormat="1" ht="31.5" customHeight="1">
      <c r="A8" s="1142" t="s">
        <v>493</v>
      </c>
      <c r="B8" s="1143"/>
      <c r="C8" s="1143"/>
      <c r="D8" s="1143"/>
      <c r="E8" s="1143"/>
      <c r="F8" s="1143"/>
      <c r="G8" s="1143"/>
      <c r="H8" s="1143"/>
      <c r="I8" s="1144"/>
      <c r="J8" s="127">
        <f>SUM(J7:J7)</f>
        <v>1</v>
      </c>
    </row>
    <row r="9" spans="1:12" ht="41.25" customHeight="1">
      <c r="A9" s="180" t="s">
        <v>492</v>
      </c>
      <c r="B9" s="75"/>
      <c r="C9" s="61"/>
      <c r="D9" s="61" t="s">
        <v>538</v>
      </c>
      <c r="E9" s="129"/>
      <c r="F9" s="88"/>
      <c r="G9" s="130"/>
      <c r="H9" s="90"/>
      <c r="I9" s="142"/>
      <c r="J9" s="126">
        <v>0</v>
      </c>
    </row>
    <row r="10" spans="1:12" s="101" customFormat="1" ht="35.1" customHeight="1">
      <c r="A10" s="1142" t="s">
        <v>494</v>
      </c>
      <c r="B10" s="1143"/>
      <c r="C10" s="1143"/>
      <c r="D10" s="1143"/>
      <c r="E10" s="1143"/>
      <c r="F10" s="1143"/>
      <c r="G10" s="1143"/>
      <c r="H10" s="1143"/>
      <c r="I10" s="1144"/>
      <c r="J10" s="127">
        <f>SUM(J9:J9)</f>
        <v>0</v>
      </c>
    </row>
    <row r="11" spans="1:12" s="9" customFormat="1" ht="41.25" customHeight="1">
      <c r="A11" s="180" t="s">
        <v>495</v>
      </c>
      <c r="B11" s="75"/>
      <c r="C11" s="75"/>
      <c r="D11" s="61" t="s">
        <v>538</v>
      </c>
      <c r="E11" s="129"/>
      <c r="F11" s="88"/>
      <c r="G11" s="89"/>
      <c r="H11" s="90"/>
      <c r="I11" s="91"/>
      <c r="J11" s="126">
        <v>0</v>
      </c>
    </row>
    <row r="12" spans="1:12" s="101" customFormat="1" ht="35.1" customHeight="1">
      <c r="A12" s="1142" t="s">
        <v>496</v>
      </c>
      <c r="B12" s="1143"/>
      <c r="C12" s="1143"/>
      <c r="D12" s="1143"/>
      <c r="E12" s="1143"/>
      <c r="F12" s="1143"/>
      <c r="G12" s="1143"/>
      <c r="H12" s="1143"/>
      <c r="I12" s="1144"/>
      <c r="J12" s="127">
        <f>SUM(J11:J11)</f>
        <v>0</v>
      </c>
    </row>
    <row r="13" spans="1:12" s="9" customFormat="1" ht="42.75" customHeight="1">
      <c r="A13" s="180" t="s">
        <v>497</v>
      </c>
      <c r="B13" s="75"/>
      <c r="C13" s="75"/>
      <c r="D13" s="75" t="s">
        <v>538</v>
      </c>
      <c r="E13" s="87"/>
      <c r="F13" s="88"/>
      <c r="G13" s="89"/>
      <c r="H13" s="90"/>
      <c r="I13" s="91"/>
      <c r="J13" s="126">
        <v>0</v>
      </c>
    </row>
    <row r="14" spans="1:12" s="101" customFormat="1" ht="35.1" customHeight="1" thickBot="1">
      <c r="A14" s="1145" t="s">
        <v>498</v>
      </c>
      <c r="B14" s="1146"/>
      <c r="C14" s="1146"/>
      <c r="D14" s="1146"/>
      <c r="E14" s="1146"/>
      <c r="F14" s="1146"/>
      <c r="G14" s="1146"/>
      <c r="H14" s="1146"/>
      <c r="I14" s="1147"/>
      <c r="J14" s="128">
        <f>SUM(J13:J13)</f>
        <v>0</v>
      </c>
    </row>
    <row r="15" spans="1:12" s="57" customFormat="1" ht="24.95" customHeight="1">
      <c r="A15" s="72" t="s">
        <v>499</v>
      </c>
      <c r="B15" s="35" t="s">
        <v>500</v>
      </c>
      <c r="C15" s="85"/>
      <c r="D15" s="85"/>
      <c r="E15" s="85"/>
      <c r="F15" s="86"/>
      <c r="G15" s="86"/>
      <c r="H15" s="86"/>
      <c r="I15" s="93"/>
      <c r="J15" s="59"/>
    </row>
    <row r="16" spans="1:12" s="57" customFormat="1" ht="24.95" customHeight="1">
      <c r="A16" s="72" t="s">
        <v>501</v>
      </c>
      <c r="B16" s="35" t="s">
        <v>502</v>
      </c>
      <c r="C16" s="85"/>
      <c r="D16" s="85"/>
      <c r="E16" s="85"/>
      <c r="F16" s="86"/>
      <c r="G16" s="86"/>
      <c r="H16" s="86"/>
      <c r="I16" s="93"/>
      <c r="J16" s="59"/>
    </row>
    <row r="17" spans="1:10" s="57" customFormat="1" ht="24.95" customHeight="1">
      <c r="A17" s="72" t="s">
        <v>503</v>
      </c>
      <c r="B17" s="35" t="s">
        <v>504</v>
      </c>
      <c r="C17" s="85"/>
      <c r="D17" s="85"/>
      <c r="E17" s="85"/>
      <c r="F17" s="86"/>
      <c r="G17" s="86"/>
      <c r="H17" s="86"/>
      <c r="I17" s="93"/>
      <c r="J17" s="59"/>
    </row>
    <row r="18" spans="1:10" ht="15" customHeight="1">
      <c r="A18" s="13"/>
      <c r="G18" s="15"/>
      <c r="H18" s="15"/>
    </row>
    <row r="19" spans="1:10" ht="15" customHeight="1">
      <c r="A19" s="13"/>
      <c r="G19" s="15"/>
      <c r="H19" s="15"/>
    </row>
    <row r="20" spans="1:10" ht="15" customHeight="1">
      <c r="C20" s="19"/>
      <c r="D20" s="19"/>
      <c r="E20" s="19"/>
      <c r="F20" s="20"/>
      <c r="G20" s="21"/>
      <c r="H20" s="21"/>
    </row>
    <row r="21" spans="1:10" ht="15" customHeight="1">
      <c r="C21" s="19"/>
      <c r="D21" s="19"/>
      <c r="E21" s="19"/>
      <c r="F21" s="20"/>
      <c r="G21" s="21"/>
      <c r="H21" s="21"/>
    </row>
    <row r="22" spans="1:10" ht="15" customHeight="1">
      <c r="C22" s="19"/>
      <c r="D22" s="19"/>
      <c r="E22" s="19"/>
      <c r="F22" s="20"/>
      <c r="G22" s="21"/>
      <c r="H22" s="21"/>
    </row>
    <row r="23" spans="1:10" ht="15" customHeight="1">
      <c r="C23" s="19"/>
      <c r="D23" s="19"/>
      <c r="E23" s="19"/>
      <c r="F23" s="20"/>
      <c r="G23" s="21"/>
      <c r="H23" s="21"/>
    </row>
    <row r="24" spans="1:10" ht="15" customHeight="1">
      <c r="C24" s="19"/>
      <c r="D24" s="19"/>
      <c r="E24" s="19"/>
      <c r="F24" s="20"/>
      <c r="G24" s="21"/>
      <c r="H24" s="21"/>
    </row>
    <row r="25" spans="1:10" ht="12" customHeight="1">
      <c r="C25" s="19"/>
      <c r="D25" s="19"/>
      <c r="E25" s="19"/>
      <c r="F25" s="20"/>
      <c r="G25" s="21"/>
      <c r="H25" s="21"/>
    </row>
    <row r="26" spans="1:10" ht="12" customHeight="1">
      <c r="C26" s="19"/>
      <c r="D26" s="19"/>
      <c r="E26" s="19"/>
      <c r="F26" s="20"/>
      <c r="G26" s="21"/>
      <c r="H26" s="21"/>
    </row>
    <row r="27" spans="1:10" ht="12" customHeight="1">
      <c r="C27" s="19"/>
      <c r="D27" s="19"/>
      <c r="E27" s="19"/>
      <c r="F27" s="20"/>
      <c r="G27" s="21"/>
      <c r="H27" s="21"/>
    </row>
    <row r="28" spans="1:10" ht="12" customHeight="1">
      <c r="C28" s="19"/>
      <c r="D28" s="19"/>
      <c r="E28" s="19"/>
      <c r="F28" s="20"/>
      <c r="G28" s="21"/>
      <c r="H28" s="21"/>
    </row>
    <row r="29" spans="1:10" ht="12" customHeight="1">
      <c r="C29" s="19"/>
      <c r="D29" s="19"/>
      <c r="E29" s="19"/>
      <c r="F29" s="20"/>
      <c r="G29" s="21"/>
      <c r="H29" s="21"/>
    </row>
    <row r="30" spans="1:10" ht="12" customHeight="1">
      <c r="C30" s="19"/>
      <c r="D30" s="19"/>
      <c r="E30" s="19"/>
      <c r="F30" s="20"/>
      <c r="G30" s="21"/>
      <c r="H30" s="21"/>
    </row>
    <row r="31" spans="1:10" ht="12" customHeight="1">
      <c r="C31" s="19"/>
      <c r="D31" s="19"/>
      <c r="E31" s="19"/>
      <c r="F31" s="20"/>
      <c r="G31" s="21"/>
      <c r="H31" s="21"/>
    </row>
    <row r="32" spans="1:10" ht="12" customHeight="1">
      <c r="C32" s="19"/>
      <c r="D32" s="19"/>
      <c r="E32" s="19"/>
      <c r="F32" s="20"/>
      <c r="G32" s="21"/>
      <c r="H32" s="21"/>
    </row>
    <row r="33" spans="3:8" ht="12" customHeight="1">
      <c r="C33" s="19"/>
      <c r="D33" s="19"/>
      <c r="E33" s="19"/>
      <c r="F33" s="20"/>
      <c r="G33" s="21"/>
      <c r="H33" s="21"/>
    </row>
    <row r="34" spans="3:8" ht="12" customHeight="1">
      <c r="C34" s="19"/>
      <c r="D34" s="19"/>
      <c r="E34" s="19"/>
      <c r="F34" s="20"/>
      <c r="G34" s="21"/>
      <c r="H34" s="21"/>
    </row>
    <row r="35" spans="3:8" ht="12" customHeight="1">
      <c r="C35" s="19"/>
      <c r="D35" s="19"/>
      <c r="E35" s="19"/>
      <c r="F35" s="20"/>
      <c r="G35" s="21"/>
      <c r="H35" s="21"/>
    </row>
    <row r="36" spans="3:8" ht="12" customHeight="1">
      <c r="C36" s="19"/>
      <c r="D36" s="19"/>
      <c r="E36" s="19"/>
      <c r="F36" s="20"/>
      <c r="G36" s="21"/>
      <c r="H36" s="21"/>
    </row>
    <row r="37" spans="3:8" ht="12" customHeight="1">
      <c r="C37" s="19"/>
      <c r="D37" s="19"/>
      <c r="E37" s="19"/>
      <c r="F37" s="20"/>
      <c r="G37" s="21"/>
      <c r="H37" s="21"/>
    </row>
    <row r="38" spans="3:8" ht="12" customHeight="1">
      <c r="C38" s="19"/>
      <c r="D38" s="19"/>
      <c r="E38" s="19"/>
      <c r="F38" s="20"/>
      <c r="G38" s="21"/>
      <c r="H38" s="21"/>
    </row>
    <row r="39" spans="3:8" ht="12" customHeight="1">
      <c r="C39" s="19"/>
      <c r="D39" s="19"/>
      <c r="E39" s="19"/>
      <c r="F39" s="20"/>
      <c r="G39" s="21"/>
      <c r="H39" s="21"/>
    </row>
    <row r="40" spans="3:8" ht="12" customHeight="1">
      <c r="C40" s="19"/>
      <c r="D40" s="19"/>
      <c r="E40" s="19"/>
      <c r="F40" s="20"/>
      <c r="G40" s="21"/>
      <c r="H40" s="21"/>
    </row>
    <row r="41" spans="3:8" ht="12" customHeight="1">
      <c r="C41" s="19"/>
      <c r="D41" s="19"/>
      <c r="E41" s="19"/>
      <c r="F41" s="20"/>
      <c r="G41" s="21"/>
      <c r="H41" s="21"/>
    </row>
    <row r="42" spans="3:8" ht="12" customHeight="1">
      <c r="C42" s="19"/>
      <c r="D42" s="19"/>
      <c r="E42" s="19"/>
      <c r="F42" s="20"/>
      <c r="G42" s="21"/>
      <c r="H42" s="21"/>
    </row>
    <row r="43" spans="3:8" ht="12" customHeight="1">
      <c r="C43" s="19"/>
      <c r="D43" s="19"/>
      <c r="E43" s="19"/>
      <c r="F43" s="20"/>
      <c r="G43" s="21"/>
      <c r="H43" s="21"/>
    </row>
    <row r="44" spans="3:8" ht="12" customHeight="1">
      <c r="C44" s="19"/>
      <c r="D44" s="19"/>
      <c r="E44" s="19"/>
      <c r="F44" s="20"/>
      <c r="G44" s="21"/>
      <c r="H44" s="21"/>
    </row>
    <row r="45" spans="3:8" ht="12" customHeight="1">
      <c r="C45" s="19"/>
      <c r="D45" s="19"/>
      <c r="E45" s="19"/>
      <c r="F45" s="20"/>
      <c r="G45" s="21"/>
      <c r="H45" s="21"/>
    </row>
    <row r="46" spans="3:8" ht="12" customHeight="1">
      <c r="C46" s="19"/>
      <c r="D46" s="19"/>
      <c r="E46" s="19"/>
      <c r="F46" s="20"/>
      <c r="G46" s="21"/>
      <c r="H46" s="21"/>
    </row>
    <row r="47" spans="3:8" ht="12" customHeight="1">
      <c r="C47" s="19"/>
      <c r="D47" s="19"/>
      <c r="E47" s="19"/>
      <c r="F47" s="20"/>
      <c r="G47" s="21"/>
      <c r="H47" s="21"/>
    </row>
    <row r="48" spans="3:8" ht="12" customHeight="1">
      <c r="C48" s="19"/>
      <c r="D48" s="19"/>
      <c r="E48" s="19"/>
      <c r="F48" s="20"/>
      <c r="G48" s="21"/>
      <c r="H48" s="21"/>
    </row>
    <row r="49" spans="3:8" ht="12" customHeight="1">
      <c r="C49" s="19"/>
      <c r="D49" s="19"/>
      <c r="E49" s="19"/>
      <c r="F49" s="20"/>
      <c r="G49" s="21"/>
      <c r="H49" s="21"/>
    </row>
    <row r="50" spans="3:8" ht="12" customHeight="1">
      <c r="C50" s="19"/>
      <c r="D50" s="19"/>
      <c r="E50" s="19"/>
      <c r="F50" s="20"/>
      <c r="G50" s="21"/>
      <c r="H50" s="21"/>
    </row>
    <row r="51" spans="3:8" ht="12" customHeight="1">
      <c r="C51" s="19"/>
      <c r="D51" s="19"/>
      <c r="E51" s="19"/>
      <c r="F51" s="20"/>
      <c r="G51" s="21"/>
      <c r="H51" s="21"/>
    </row>
    <row r="52" spans="3:8" ht="12" customHeight="1">
      <c r="C52" s="19"/>
      <c r="D52" s="19"/>
      <c r="E52" s="19"/>
      <c r="F52" s="20"/>
      <c r="G52" s="21"/>
      <c r="H52" s="21"/>
    </row>
    <row r="53" spans="3:8" ht="12" customHeight="1">
      <c r="C53" s="19"/>
      <c r="D53" s="19"/>
      <c r="E53" s="19"/>
      <c r="F53" s="20"/>
      <c r="G53" s="21"/>
      <c r="H53" s="21"/>
    </row>
    <row r="54" spans="3:8" ht="12" customHeight="1">
      <c r="C54" s="19"/>
      <c r="D54" s="19"/>
      <c r="E54" s="19"/>
      <c r="F54" s="20"/>
      <c r="G54" s="21"/>
      <c r="H54" s="21"/>
    </row>
    <row r="55" spans="3:8" ht="12" customHeight="1">
      <c r="C55" s="19"/>
      <c r="D55" s="19"/>
      <c r="E55" s="19"/>
      <c r="F55" s="20"/>
      <c r="G55" s="21"/>
      <c r="H55" s="21"/>
    </row>
    <row r="56" spans="3:8" ht="12" customHeight="1">
      <c r="C56" s="19"/>
      <c r="D56" s="19"/>
      <c r="E56" s="19"/>
      <c r="F56" s="20"/>
      <c r="G56" s="21"/>
      <c r="H56" s="21"/>
    </row>
    <row r="57" spans="3:8" ht="12" customHeight="1">
      <c r="C57" s="19"/>
      <c r="D57" s="19"/>
      <c r="E57" s="19"/>
      <c r="F57" s="20"/>
      <c r="G57" s="21"/>
      <c r="H57" s="21"/>
    </row>
    <row r="58" spans="3:8" ht="12" customHeight="1">
      <c r="C58" s="19"/>
      <c r="D58" s="19"/>
      <c r="E58" s="19"/>
      <c r="F58" s="20"/>
      <c r="G58" s="21"/>
      <c r="H58" s="21"/>
    </row>
    <row r="59" spans="3:8" ht="12" customHeight="1">
      <c r="C59" s="19"/>
      <c r="D59" s="19"/>
      <c r="E59" s="19"/>
      <c r="F59" s="20"/>
      <c r="G59" s="21"/>
      <c r="H59" s="21"/>
    </row>
    <row r="60" spans="3:8" ht="12" customHeight="1">
      <c r="C60" s="19"/>
      <c r="D60" s="19"/>
      <c r="E60" s="19"/>
      <c r="F60" s="20"/>
      <c r="G60" s="21"/>
      <c r="H60" s="21"/>
    </row>
    <row r="61" spans="3:8" ht="12" customHeight="1">
      <c r="C61" s="19"/>
      <c r="D61" s="19"/>
      <c r="E61" s="19"/>
      <c r="F61" s="20"/>
      <c r="G61" s="21"/>
      <c r="H61" s="21"/>
    </row>
    <row r="62" spans="3:8" ht="12" customHeight="1">
      <c r="C62" s="19"/>
      <c r="D62" s="19"/>
      <c r="E62" s="19"/>
      <c r="F62" s="20"/>
      <c r="G62" s="21"/>
      <c r="H62" s="21"/>
    </row>
    <row r="63" spans="3:8" ht="12" customHeight="1">
      <c r="C63" s="19"/>
      <c r="D63" s="19"/>
      <c r="E63" s="19"/>
      <c r="F63" s="20"/>
      <c r="G63" s="21"/>
      <c r="H63" s="21"/>
    </row>
    <row r="64" spans="3:8" ht="12" customHeight="1">
      <c r="C64" s="19"/>
      <c r="D64" s="19"/>
      <c r="E64" s="19"/>
      <c r="F64" s="20"/>
      <c r="G64" s="21"/>
      <c r="H64" s="21"/>
    </row>
    <row r="65" spans="3:8" ht="12" customHeight="1">
      <c r="C65" s="19"/>
      <c r="D65" s="19"/>
      <c r="E65" s="19"/>
      <c r="F65" s="20"/>
      <c r="G65" s="21"/>
      <c r="H65" s="21"/>
    </row>
    <row r="66" spans="3:8" ht="12" customHeight="1">
      <c r="C66" s="19"/>
      <c r="D66" s="19"/>
      <c r="E66" s="19"/>
      <c r="F66" s="20"/>
      <c r="G66" s="21"/>
      <c r="H66" s="21"/>
    </row>
    <row r="67" spans="3:8" ht="12" customHeight="1">
      <c r="C67" s="19"/>
      <c r="D67" s="19"/>
      <c r="E67" s="19"/>
      <c r="F67" s="20"/>
      <c r="G67" s="21"/>
      <c r="H67" s="21"/>
    </row>
    <row r="68" spans="3:8" ht="12" customHeight="1">
      <c r="C68" s="19"/>
      <c r="D68" s="19"/>
      <c r="E68" s="19"/>
      <c r="F68" s="20"/>
      <c r="G68" s="21"/>
      <c r="H68" s="21"/>
    </row>
    <row r="69" spans="3:8" ht="12" customHeight="1">
      <c r="C69" s="19"/>
      <c r="D69" s="19"/>
      <c r="E69" s="19"/>
      <c r="F69" s="20"/>
      <c r="G69" s="21"/>
      <c r="H69" s="21"/>
    </row>
    <row r="70" spans="3:8" ht="12" customHeight="1">
      <c r="C70" s="19"/>
      <c r="D70" s="19"/>
      <c r="E70" s="19"/>
      <c r="F70" s="20"/>
      <c r="G70" s="21"/>
      <c r="H70" s="21"/>
    </row>
    <row r="71" spans="3:8" ht="12" customHeight="1">
      <c r="C71" s="19"/>
      <c r="D71" s="19"/>
      <c r="E71" s="19"/>
      <c r="F71" s="20"/>
      <c r="G71" s="21"/>
      <c r="H71" s="21"/>
    </row>
    <row r="72" spans="3:8" ht="12" customHeight="1">
      <c r="C72" s="19"/>
      <c r="D72" s="19"/>
      <c r="E72" s="19"/>
      <c r="F72" s="20"/>
      <c r="G72" s="21"/>
      <c r="H72" s="21"/>
    </row>
    <row r="73" spans="3:8" ht="12" customHeight="1">
      <c r="C73" s="19"/>
      <c r="D73" s="19"/>
      <c r="E73" s="19"/>
      <c r="F73" s="20"/>
      <c r="G73" s="21"/>
      <c r="H73" s="21"/>
    </row>
    <row r="74" spans="3:8" ht="12" customHeight="1">
      <c r="C74" s="19"/>
      <c r="D74" s="19"/>
      <c r="E74" s="19"/>
      <c r="F74" s="20"/>
      <c r="G74" s="21"/>
      <c r="H74" s="21"/>
    </row>
    <row r="75" spans="3:8" ht="12" customHeight="1">
      <c r="C75" s="19"/>
      <c r="D75" s="19"/>
      <c r="E75" s="19"/>
      <c r="F75" s="20"/>
      <c r="G75" s="21"/>
      <c r="H75" s="21"/>
    </row>
    <row r="76" spans="3:8" ht="12" customHeight="1">
      <c r="C76" s="19"/>
      <c r="D76" s="19"/>
      <c r="E76" s="19"/>
      <c r="F76" s="20"/>
      <c r="G76" s="21"/>
      <c r="H76" s="21"/>
    </row>
    <row r="77" spans="3:8" ht="12" customHeight="1">
      <c r="C77" s="19"/>
      <c r="D77" s="19"/>
      <c r="E77" s="19"/>
      <c r="F77" s="20"/>
      <c r="G77" s="21"/>
      <c r="H77" s="21"/>
    </row>
    <row r="78" spans="3:8" ht="12" customHeight="1">
      <c r="C78" s="19"/>
      <c r="D78" s="19"/>
      <c r="E78" s="19"/>
      <c r="F78" s="20"/>
      <c r="G78" s="21"/>
      <c r="H78" s="21"/>
    </row>
    <row r="79" spans="3:8" ht="12" customHeight="1">
      <c r="C79" s="19"/>
      <c r="D79" s="19"/>
      <c r="E79" s="19"/>
      <c r="F79" s="20"/>
      <c r="G79" s="21"/>
      <c r="H79" s="21"/>
    </row>
    <row r="80" spans="3:8" ht="12" customHeight="1">
      <c r="C80" s="19"/>
      <c r="D80" s="19"/>
      <c r="E80" s="19"/>
      <c r="F80" s="20"/>
      <c r="G80" s="21"/>
      <c r="H80" s="21"/>
    </row>
    <row r="81" spans="3:8" ht="12" customHeight="1">
      <c r="C81" s="19"/>
      <c r="D81" s="19"/>
      <c r="E81" s="19"/>
      <c r="F81" s="20"/>
      <c r="G81" s="21"/>
      <c r="H81" s="21"/>
    </row>
    <row r="82" spans="3:8" ht="12" customHeight="1">
      <c r="C82" s="19"/>
      <c r="D82" s="19"/>
      <c r="E82" s="19"/>
      <c r="F82" s="20"/>
      <c r="G82" s="21"/>
      <c r="H82" s="21"/>
    </row>
    <row r="83" spans="3:8" ht="12" customHeight="1">
      <c r="C83" s="19"/>
      <c r="D83" s="19"/>
      <c r="E83" s="19"/>
      <c r="F83" s="20"/>
      <c r="G83" s="21"/>
      <c r="H83" s="21"/>
    </row>
    <row r="84" spans="3:8" ht="12" customHeight="1">
      <c r="C84" s="19"/>
      <c r="D84" s="19"/>
      <c r="E84" s="19"/>
      <c r="F84" s="20"/>
      <c r="G84" s="21"/>
      <c r="H84" s="21"/>
    </row>
    <row r="85" spans="3:8" ht="12" customHeight="1">
      <c r="C85" s="19"/>
      <c r="D85" s="19"/>
      <c r="E85" s="19"/>
      <c r="F85" s="20"/>
      <c r="G85" s="21"/>
      <c r="H85" s="21"/>
    </row>
    <row r="86" spans="3:8" ht="12" customHeight="1">
      <c r="C86" s="19"/>
      <c r="D86" s="19"/>
      <c r="E86" s="19"/>
      <c r="F86" s="20"/>
      <c r="G86" s="21"/>
      <c r="H86" s="21"/>
    </row>
    <row r="87" spans="3:8" ht="12" customHeight="1">
      <c r="C87" s="19"/>
      <c r="D87" s="19"/>
      <c r="E87" s="19"/>
      <c r="F87" s="20"/>
      <c r="G87" s="21"/>
      <c r="H87" s="21"/>
    </row>
    <row r="88" spans="3:8" ht="12" customHeight="1">
      <c r="C88" s="19"/>
      <c r="D88" s="19"/>
      <c r="E88" s="19"/>
      <c r="F88" s="20"/>
      <c r="G88" s="21"/>
      <c r="H88" s="21"/>
    </row>
    <row r="89" spans="3:8" ht="12" customHeight="1">
      <c r="C89" s="19"/>
      <c r="D89" s="19"/>
      <c r="E89" s="19"/>
      <c r="F89" s="20"/>
      <c r="G89" s="21"/>
      <c r="H89" s="21"/>
    </row>
    <row r="90" spans="3:8" ht="12" customHeight="1">
      <c r="C90" s="19"/>
      <c r="D90" s="19"/>
      <c r="E90" s="19"/>
      <c r="F90" s="20"/>
      <c r="G90" s="21"/>
      <c r="H90" s="21"/>
    </row>
    <row r="91" spans="3:8" ht="12" customHeight="1">
      <c r="C91" s="19"/>
      <c r="D91" s="19"/>
      <c r="E91" s="19"/>
      <c r="F91" s="20"/>
      <c r="G91" s="21"/>
      <c r="H91" s="21"/>
    </row>
    <row r="92" spans="3:8" ht="12" customHeight="1">
      <c r="C92" s="19"/>
      <c r="D92" s="19"/>
      <c r="E92" s="19"/>
      <c r="F92" s="20"/>
      <c r="G92" s="21"/>
      <c r="H92" s="21"/>
    </row>
    <row r="93" spans="3:8" ht="12" customHeight="1">
      <c r="C93" s="19"/>
      <c r="D93" s="19"/>
      <c r="E93" s="19"/>
      <c r="F93" s="20"/>
      <c r="G93" s="21"/>
      <c r="H93" s="21"/>
    </row>
    <row r="94" spans="3:8" ht="12" customHeight="1">
      <c r="C94" s="19"/>
      <c r="D94" s="19"/>
      <c r="E94" s="19"/>
      <c r="F94" s="20"/>
      <c r="G94" s="21"/>
      <c r="H94" s="21"/>
    </row>
    <row r="95" spans="3:8" ht="12" customHeight="1">
      <c r="C95" s="19"/>
      <c r="D95" s="19"/>
      <c r="E95" s="19"/>
      <c r="F95" s="20"/>
      <c r="G95" s="21"/>
      <c r="H95" s="21"/>
    </row>
    <row r="96" spans="3:8" ht="12" customHeight="1">
      <c r="C96" s="19"/>
      <c r="D96" s="19"/>
      <c r="E96" s="19"/>
      <c r="F96" s="20"/>
      <c r="G96" s="21"/>
      <c r="H96" s="21"/>
    </row>
    <row r="97" spans="3:8" ht="12" customHeight="1">
      <c r="C97" s="19"/>
      <c r="D97" s="19"/>
      <c r="E97" s="19"/>
      <c r="F97" s="20"/>
      <c r="G97" s="21"/>
      <c r="H97" s="21"/>
    </row>
    <row r="98" spans="3:8" ht="12" customHeight="1">
      <c r="C98" s="19"/>
      <c r="D98" s="19"/>
      <c r="E98" s="19"/>
      <c r="F98" s="20"/>
      <c r="G98" s="21"/>
      <c r="H98" s="21"/>
    </row>
    <row r="99" spans="3:8" ht="12" customHeight="1">
      <c r="C99" s="19"/>
      <c r="D99" s="19"/>
      <c r="E99" s="19"/>
      <c r="F99" s="20"/>
      <c r="G99" s="21"/>
      <c r="H99" s="21"/>
    </row>
    <row r="100" spans="3:8" ht="12" customHeight="1">
      <c r="C100" s="19"/>
      <c r="D100" s="19"/>
      <c r="E100" s="19"/>
      <c r="F100" s="20"/>
      <c r="G100" s="21"/>
      <c r="H100" s="21"/>
    </row>
    <row r="101" spans="3:8" ht="12" customHeight="1">
      <c r="C101" s="19"/>
      <c r="D101" s="19"/>
      <c r="E101" s="19"/>
      <c r="F101" s="20"/>
      <c r="G101" s="21"/>
      <c r="H101" s="21"/>
    </row>
    <row r="102" spans="3:8" ht="12" customHeight="1">
      <c r="C102" s="19"/>
      <c r="D102" s="19"/>
      <c r="E102" s="19"/>
      <c r="F102" s="20"/>
      <c r="G102" s="21"/>
      <c r="H102" s="21"/>
    </row>
    <row r="103" spans="3:8" ht="12" customHeight="1">
      <c r="C103" s="19"/>
      <c r="D103" s="19"/>
      <c r="E103" s="19"/>
      <c r="F103" s="20"/>
      <c r="G103" s="21"/>
      <c r="H103" s="21"/>
    </row>
    <row r="104" spans="3:8" ht="12" customHeight="1">
      <c r="C104" s="19"/>
      <c r="D104" s="19"/>
      <c r="E104" s="19"/>
      <c r="F104" s="20"/>
      <c r="G104" s="21"/>
      <c r="H104" s="21"/>
    </row>
    <row r="105" spans="3:8" ht="12" customHeight="1">
      <c r="C105" s="19"/>
      <c r="D105" s="19"/>
      <c r="E105" s="19"/>
      <c r="F105" s="20"/>
      <c r="G105" s="21"/>
      <c r="H105" s="21"/>
    </row>
    <row r="106" spans="3:8" ht="12" customHeight="1">
      <c r="C106" s="19"/>
      <c r="D106" s="19"/>
      <c r="E106" s="19"/>
      <c r="F106" s="20"/>
      <c r="G106" s="21"/>
      <c r="H106" s="21"/>
    </row>
    <row r="107" spans="3:8" ht="12" customHeight="1">
      <c r="C107" s="19"/>
      <c r="D107" s="19"/>
      <c r="E107" s="19"/>
      <c r="F107" s="20"/>
      <c r="G107" s="21"/>
      <c r="H107" s="21"/>
    </row>
    <row r="108" spans="3:8" ht="12" customHeight="1">
      <c r="C108" s="19"/>
      <c r="D108" s="19"/>
      <c r="E108" s="19"/>
      <c r="F108" s="20"/>
      <c r="G108" s="21"/>
      <c r="H108" s="21"/>
    </row>
    <row r="109" spans="3:8" ht="12" customHeight="1">
      <c r="C109" s="19"/>
      <c r="D109" s="19"/>
      <c r="E109" s="19"/>
      <c r="F109" s="20"/>
      <c r="G109" s="21"/>
      <c r="H109" s="21"/>
    </row>
    <row r="110" spans="3:8" ht="12" customHeight="1">
      <c r="C110" s="19"/>
      <c r="D110" s="19"/>
      <c r="E110" s="19"/>
      <c r="F110" s="20"/>
      <c r="G110" s="21"/>
      <c r="H110" s="21"/>
    </row>
    <row r="111" spans="3:8" ht="12" customHeight="1">
      <c r="C111" s="19"/>
      <c r="D111" s="19"/>
      <c r="E111" s="19"/>
      <c r="F111" s="20"/>
      <c r="G111" s="21"/>
      <c r="H111" s="21"/>
    </row>
    <row r="112" spans="3:8" ht="12" customHeight="1">
      <c r="C112" s="19"/>
      <c r="D112" s="19"/>
      <c r="E112" s="19"/>
      <c r="F112" s="20"/>
      <c r="G112" s="21"/>
      <c r="H112" s="21"/>
    </row>
    <row r="113" spans="3:8" ht="12" customHeight="1">
      <c r="C113" s="19"/>
      <c r="D113" s="19"/>
      <c r="E113" s="19"/>
      <c r="F113" s="20"/>
      <c r="G113" s="21"/>
      <c r="H113" s="21"/>
    </row>
    <row r="114" spans="3:8" ht="12" customHeight="1">
      <c r="C114" s="19"/>
      <c r="D114" s="19"/>
      <c r="E114" s="19"/>
      <c r="F114" s="20"/>
      <c r="G114" s="21"/>
      <c r="H114" s="21"/>
    </row>
    <row r="115" spans="3:8" ht="12" customHeight="1">
      <c r="C115" s="19"/>
      <c r="D115" s="19"/>
      <c r="E115" s="19"/>
      <c r="F115" s="20"/>
      <c r="G115" s="21"/>
      <c r="H115" s="21"/>
    </row>
    <row r="116" spans="3:8" ht="12" customHeight="1">
      <c r="C116" s="19"/>
      <c r="D116" s="19"/>
      <c r="E116" s="19"/>
      <c r="F116" s="20"/>
      <c r="G116" s="21"/>
      <c r="H116" s="21"/>
    </row>
    <row r="117" spans="3:8" ht="12" customHeight="1">
      <c r="C117" s="19"/>
      <c r="D117" s="19"/>
      <c r="E117" s="19"/>
      <c r="F117" s="20"/>
      <c r="G117" s="21"/>
      <c r="H117" s="21"/>
    </row>
    <row r="118" spans="3:8" ht="12" customHeight="1">
      <c r="C118" s="19"/>
      <c r="D118" s="19"/>
      <c r="E118" s="19"/>
      <c r="F118" s="20"/>
      <c r="G118" s="21"/>
      <c r="H118" s="21"/>
    </row>
    <row r="119" spans="3:8" ht="12" customHeight="1">
      <c r="C119" s="19"/>
      <c r="D119" s="19"/>
      <c r="E119" s="19"/>
      <c r="F119" s="20"/>
      <c r="G119" s="21"/>
      <c r="H119" s="21"/>
    </row>
    <row r="120" spans="3:8" ht="12" customHeight="1">
      <c r="C120" s="19"/>
      <c r="D120" s="19"/>
      <c r="E120" s="19"/>
      <c r="F120" s="20"/>
      <c r="G120" s="21"/>
      <c r="H120" s="21"/>
    </row>
    <row r="121" spans="3:8" ht="12" customHeight="1">
      <c r="C121" s="19"/>
      <c r="D121" s="19"/>
      <c r="E121" s="19"/>
      <c r="F121" s="20"/>
      <c r="G121" s="21"/>
      <c r="H121" s="21"/>
    </row>
    <row r="122" spans="3:8" ht="12" customHeight="1">
      <c r="C122" s="19"/>
      <c r="D122" s="19"/>
      <c r="E122" s="19"/>
      <c r="F122" s="20"/>
      <c r="G122" s="21"/>
      <c r="H122" s="21"/>
    </row>
    <row r="123" spans="3:8" ht="12" customHeight="1">
      <c r="C123" s="19"/>
      <c r="D123" s="19"/>
      <c r="E123" s="19"/>
      <c r="F123" s="20"/>
      <c r="G123" s="21"/>
      <c r="H123" s="21"/>
    </row>
    <row r="124" spans="3:8" ht="12" customHeight="1">
      <c r="C124" s="19"/>
      <c r="D124" s="19"/>
      <c r="E124" s="19"/>
      <c r="F124" s="20"/>
      <c r="G124" s="21"/>
      <c r="H124" s="21"/>
    </row>
  </sheetData>
  <mergeCells count="6">
    <mergeCell ref="A14:I14"/>
    <mergeCell ref="A4:I4"/>
    <mergeCell ref="A6:I6"/>
    <mergeCell ref="A8:I8"/>
    <mergeCell ref="A10:I10"/>
    <mergeCell ref="A12:I12"/>
  </mergeCells>
  <phoneticPr fontId="2" type="noConversion"/>
  <pageMargins left="0.74803149606299213" right="0.74803149606299213" top="0.9055118110236221" bottom="0.78740157480314965" header="0.51181102362204722" footer="0.51181102362204722"/>
  <pageSetup paperSize="9" scale="55" fitToHeight="3" orientation="landscape" r:id="rId1"/>
  <headerFooter alignWithMargins="0"/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1"/>
  </sheetPr>
  <dimension ref="A1:L124"/>
  <sheetViews>
    <sheetView view="pageBreakPreview" zoomScale="85" zoomScaleSheetLayoutView="85" workbookViewId="0">
      <selection activeCell="H2" sqref="H2"/>
    </sheetView>
  </sheetViews>
  <sheetFormatPr defaultRowHeight="12" customHeight="1"/>
  <cols>
    <col min="1" max="1" width="14.6640625" style="18" customWidth="1"/>
    <col min="2" max="2" width="5.33203125" style="14" customWidth="1"/>
    <col min="3" max="3" width="17.88671875" style="14" customWidth="1"/>
    <col min="4" max="4" width="35.88671875" style="14" customWidth="1"/>
    <col min="5" max="5" width="11.6640625" style="14" customWidth="1"/>
    <col min="6" max="6" width="5.44140625" style="15" customWidth="1"/>
    <col min="7" max="7" width="10.5546875" style="22" customWidth="1"/>
    <col min="8" max="8" width="10.6640625" style="22" customWidth="1"/>
    <col min="9" max="9" width="10.5546875" style="16" customWidth="1"/>
    <col min="10" max="10" width="8.5546875" style="17" customWidth="1"/>
    <col min="11" max="16384" width="8.88671875" style="10"/>
  </cols>
  <sheetData>
    <row r="1" spans="1:12" s="7" customFormat="1" ht="30" customHeight="1" thickBot="1">
      <c r="A1" s="725" t="s">
        <v>52</v>
      </c>
      <c r="B1" s="725"/>
      <c r="C1" s="725" t="str">
        <f>기술투자!B8</f>
        <v>☆☆엔지니어링</v>
      </c>
      <c r="D1" s="95"/>
      <c r="E1" s="95"/>
      <c r="F1" s="3"/>
      <c r="G1" s="125" t="s">
        <v>226</v>
      </c>
      <c r="H1" s="463">
        <v>44835</v>
      </c>
      <c r="I1" s="3"/>
      <c r="J1" s="3"/>
      <c r="K1" s="6"/>
      <c r="L1" s="6"/>
    </row>
    <row r="2" spans="1:12" s="8" customFormat="1" ht="35.1" customHeight="1">
      <c r="A2" s="459" t="s">
        <v>177</v>
      </c>
      <c r="B2" s="460" t="s">
        <v>178</v>
      </c>
      <c r="C2" s="460" t="s">
        <v>179</v>
      </c>
      <c r="D2" s="460" t="s">
        <v>199</v>
      </c>
      <c r="E2" s="460" t="s">
        <v>182</v>
      </c>
      <c r="F2" s="460" t="s">
        <v>183</v>
      </c>
      <c r="G2" s="460" t="s">
        <v>185</v>
      </c>
      <c r="H2" s="460" t="s">
        <v>180</v>
      </c>
      <c r="I2" s="460" t="s">
        <v>181</v>
      </c>
      <c r="J2" s="461" t="s">
        <v>144</v>
      </c>
    </row>
    <row r="3" spans="1:12" s="9" customFormat="1" ht="78.75" customHeight="1">
      <c r="A3" s="180" t="s">
        <v>222</v>
      </c>
      <c r="B3" s="75">
        <v>1</v>
      </c>
      <c r="C3" s="114" t="s">
        <v>339</v>
      </c>
      <c r="D3" s="121" t="s">
        <v>340</v>
      </c>
      <c r="E3" s="87" t="s">
        <v>566</v>
      </c>
      <c r="F3" s="92">
        <v>1</v>
      </c>
      <c r="G3" s="89">
        <v>39913</v>
      </c>
      <c r="H3" s="90">
        <f>$H$1-G3</f>
        <v>4922</v>
      </c>
      <c r="I3" s="89">
        <v>43564</v>
      </c>
      <c r="J3" s="126">
        <f>2/F3</f>
        <v>2</v>
      </c>
    </row>
    <row r="4" spans="1:12" s="101" customFormat="1" ht="35.1" customHeight="1">
      <c r="A4" s="1150" t="s">
        <v>184</v>
      </c>
      <c r="B4" s="1151"/>
      <c r="C4" s="1151"/>
      <c r="D4" s="1151"/>
      <c r="E4" s="1151"/>
      <c r="F4" s="1151"/>
      <c r="G4" s="1151"/>
      <c r="H4" s="1151"/>
      <c r="I4" s="1151"/>
      <c r="J4" s="127">
        <f>SUM(J3:J3)</f>
        <v>2</v>
      </c>
    </row>
    <row r="5" spans="1:12" ht="168" customHeight="1">
      <c r="A5" s="180" t="s">
        <v>341</v>
      </c>
      <c r="B5" s="75">
        <v>1</v>
      </c>
      <c r="C5" s="121" t="s">
        <v>566</v>
      </c>
      <c r="D5" s="121" t="s">
        <v>566</v>
      </c>
      <c r="E5" s="87" t="s">
        <v>566</v>
      </c>
      <c r="F5" s="92">
        <v>1</v>
      </c>
      <c r="G5" s="89">
        <v>39141</v>
      </c>
      <c r="H5" s="90">
        <f t="shared" ref="H5" si="0">$H$1-G5</f>
        <v>5694</v>
      </c>
      <c r="I5" s="89">
        <v>46446</v>
      </c>
      <c r="J5" s="126">
        <f>1/F5</f>
        <v>1</v>
      </c>
    </row>
    <row r="6" spans="1:12" s="102" customFormat="1" ht="35.1" customHeight="1">
      <c r="A6" s="1150" t="s">
        <v>187</v>
      </c>
      <c r="B6" s="1151"/>
      <c r="C6" s="1151"/>
      <c r="D6" s="1151"/>
      <c r="E6" s="1151"/>
      <c r="F6" s="1151"/>
      <c r="G6" s="1151"/>
      <c r="H6" s="1151"/>
      <c r="I6" s="1151"/>
      <c r="J6" s="127">
        <f>SUM(J5)</f>
        <v>1</v>
      </c>
    </row>
    <row r="7" spans="1:12" ht="168" customHeight="1">
      <c r="A7" s="180" t="s">
        <v>341</v>
      </c>
      <c r="B7" s="75">
        <v>1</v>
      </c>
      <c r="C7" s="121" t="s">
        <v>566</v>
      </c>
      <c r="D7" s="121" t="s">
        <v>566</v>
      </c>
      <c r="E7" s="87" t="s">
        <v>566</v>
      </c>
      <c r="F7" s="92">
        <v>1</v>
      </c>
      <c r="G7" s="89">
        <v>39141</v>
      </c>
      <c r="H7" s="90">
        <f t="shared" ref="H7" si="1">$H$1-G7</f>
        <v>5694</v>
      </c>
      <c r="I7" s="89">
        <v>46446</v>
      </c>
      <c r="J7" s="126">
        <f>1/F7</f>
        <v>1</v>
      </c>
    </row>
    <row r="8" spans="1:12" s="102" customFormat="1" ht="35.1" customHeight="1">
      <c r="A8" s="1150" t="s">
        <v>188</v>
      </c>
      <c r="B8" s="1151"/>
      <c r="C8" s="1151"/>
      <c r="D8" s="1151"/>
      <c r="E8" s="1151"/>
      <c r="F8" s="1151"/>
      <c r="G8" s="1151"/>
      <c r="H8" s="1151"/>
      <c r="I8" s="1151"/>
      <c r="J8" s="127">
        <f>SUM(J7:J7)</f>
        <v>1</v>
      </c>
    </row>
    <row r="9" spans="1:12" s="9" customFormat="1" ht="35.1" customHeight="1">
      <c r="A9" s="180" t="s">
        <v>219</v>
      </c>
      <c r="B9" s="75"/>
      <c r="C9" s="75"/>
      <c r="D9" s="75"/>
      <c r="E9" s="87"/>
      <c r="F9" s="92"/>
      <c r="G9" s="89"/>
      <c r="H9" s="90"/>
      <c r="I9" s="91"/>
      <c r="J9" s="126"/>
    </row>
    <row r="10" spans="1:12" s="101" customFormat="1" ht="35.1" customHeight="1">
      <c r="A10" s="1150" t="s">
        <v>223</v>
      </c>
      <c r="B10" s="1151"/>
      <c r="C10" s="1151"/>
      <c r="D10" s="1151"/>
      <c r="E10" s="1151"/>
      <c r="F10" s="1151"/>
      <c r="G10" s="1151"/>
      <c r="H10" s="1151"/>
      <c r="I10" s="1151"/>
      <c r="J10" s="127">
        <f>SUM(J9:J9)</f>
        <v>0</v>
      </c>
    </row>
    <row r="11" spans="1:12" s="9" customFormat="1" ht="35.1" customHeight="1">
      <c r="A11" s="180" t="s">
        <v>186</v>
      </c>
      <c r="B11" s="75"/>
      <c r="C11" s="75"/>
      <c r="D11" s="75"/>
      <c r="E11" s="87"/>
      <c r="F11" s="92"/>
      <c r="G11" s="89"/>
      <c r="H11" s="90"/>
      <c r="I11" s="91"/>
      <c r="J11" s="126"/>
    </row>
    <row r="12" spans="1:12" s="101" customFormat="1" ht="35.1" customHeight="1">
      <c r="A12" s="1150" t="s">
        <v>224</v>
      </c>
      <c r="B12" s="1151"/>
      <c r="C12" s="1151"/>
      <c r="D12" s="1151"/>
      <c r="E12" s="1151"/>
      <c r="F12" s="1151"/>
      <c r="G12" s="1151"/>
      <c r="H12" s="1151"/>
      <c r="I12" s="1151"/>
      <c r="J12" s="127">
        <f>SUM(J11:J11)</f>
        <v>0</v>
      </c>
    </row>
    <row r="13" spans="1:12" s="9" customFormat="1" ht="35.1" customHeight="1">
      <c r="A13" s="180" t="s">
        <v>186</v>
      </c>
      <c r="B13" s="75"/>
      <c r="C13" s="75"/>
      <c r="D13" s="75"/>
      <c r="E13" s="87"/>
      <c r="F13" s="92"/>
      <c r="G13" s="89"/>
      <c r="H13" s="90"/>
      <c r="I13" s="91"/>
      <c r="J13" s="126"/>
    </row>
    <row r="14" spans="1:12" s="101" customFormat="1" ht="35.1" customHeight="1" thickBot="1">
      <c r="A14" s="1148" t="s">
        <v>225</v>
      </c>
      <c r="B14" s="1149"/>
      <c r="C14" s="1149"/>
      <c r="D14" s="1149"/>
      <c r="E14" s="1149"/>
      <c r="F14" s="1149"/>
      <c r="G14" s="1149"/>
      <c r="H14" s="1149"/>
      <c r="I14" s="1149"/>
      <c r="J14" s="128">
        <f>SUM(J13:J13)</f>
        <v>0</v>
      </c>
    </row>
    <row r="15" spans="1:12" s="57" customFormat="1" ht="24.95" customHeight="1">
      <c r="A15" s="72" t="s">
        <v>666</v>
      </c>
      <c r="B15" s="35" t="s">
        <v>227</v>
      </c>
      <c r="C15" s="85"/>
      <c r="D15" s="85"/>
      <c r="E15" s="85"/>
      <c r="F15" s="86"/>
      <c r="G15" s="86"/>
      <c r="H15" s="86"/>
      <c r="I15" s="93"/>
      <c r="J15" s="59"/>
    </row>
    <row r="16" spans="1:12" s="57" customFormat="1" ht="24.95" customHeight="1">
      <c r="A16" s="72" t="s">
        <v>667</v>
      </c>
      <c r="B16" s="35" t="s">
        <v>228</v>
      </c>
      <c r="C16" s="85"/>
      <c r="D16" s="85"/>
      <c r="E16" s="85"/>
      <c r="F16" s="86"/>
      <c r="G16" s="86"/>
      <c r="H16" s="86"/>
      <c r="I16" s="93"/>
      <c r="J16" s="59"/>
    </row>
    <row r="17" spans="1:10" s="57" customFormat="1" ht="24.95" customHeight="1">
      <c r="A17" s="72" t="s">
        <v>669</v>
      </c>
      <c r="B17" s="35" t="s">
        <v>229</v>
      </c>
      <c r="C17" s="85"/>
      <c r="D17" s="85"/>
      <c r="E17" s="85"/>
      <c r="F17" s="86"/>
      <c r="G17" s="86"/>
      <c r="H17" s="86"/>
      <c r="I17" s="93"/>
      <c r="J17" s="59"/>
    </row>
    <row r="18" spans="1:10" ht="15" customHeight="1">
      <c r="A18" s="13"/>
      <c r="G18" s="15"/>
      <c r="H18" s="15"/>
    </row>
    <row r="19" spans="1:10" ht="15" customHeight="1">
      <c r="A19" s="13"/>
      <c r="G19" s="15"/>
      <c r="H19" s="15"/>
    </row>
    <row r="20" spans="1:10" ht="15" customHeight="1">
      <c r="C20" s="19"/>
      <c r="D20" s="19"/>
      <c r="E20" s="19"/>
      <c r="F20" s="20"/>
      <c r="G20" s="21"/>
      <c r="H20" s="21"/>
    </row>
    <row r="21" spans="1:10" ht="15" customHeight="1">
      <c r="C21" s="19"/>
      <c r="D21" s="19"/>
      <c r="E21" s="19"/>
      <c r="F21" s="20"/>
      <c r="G21" s="21"/>
      <c r="H21" s="21"/>
    </row>
    <row r="22" spans="1:10" ht="15" customHeight="1">
      <c r="C22" s="19"/>
      <c r="D22" s="19"/>
      <c r="E22" s="19"/>
      <c r="F22" s="20"/>
      <c r="G22" s="21"/>
      <c r="H22" s="21"/>
    </row>
    <row r="23" spans="1:10" ht="15" customHeight="1">
      <c r="C23" s="19"/>
      <c r="D23" s="19"/>
      <c r="E23" s="19"/>
      <c r="F23" s="20"/>
      <c r="G23" s="21"/>
      <c r="H23" s="21"/>
    </row>
    <row r="24" spans="1:10" ht="15" customHeight="1">
      <c r="C24" s="19"/>
      <c r="D24" s="19"/>
      <c r="E24" s="19"/>
      <c r="F24" s="20"/>
      <c r="G24" s="21"/>
      <c r="H24" s="21"/>
    </row>
    <row r="25" spans="1:10" ht="12" customHeight="1">
      <c r="C25" s="19"/>
      <c r="D25" s="19"/>
      <c r="E25" s="19"/>
      <c r="F25" s="20"/>
      <c r="G25" s="21"/>
      <c r="H25" s="21"/>
    </row>
    <row r="26" spans="1:10" ht="12" customHeight="1">
      <c r="C26" s="19"/>
      <c r="D26" s="19"/>
      <c r="E26" s="19"/>
      <c r="F26" s="20"/>
      <c r="G26" s="21"/>
      <c r="H26" s="21"/>
    </row>
    <row r="27" spans="1:10" ht="12" customHeight="1">
      <c r="C27" s="19"/>
      <c r="D27" s="19"/>
      <c r="E27" s="19"/>
      <c r="F27" s="20"/>
      <c r="G27" s="21"/>
      <c r="H27" s="21"/>
    </row>
    <row r="28" spans="1:10" ht="12" customHeight="1">
      <c r="C28" s="19"/>
      <c r="D28" s="19"/>
      <c r="E28" s="19"/>
      <c r="F28" s="20"/>
      <c r="G28" s="21"/>
      <c r="H28" s="21"/>
    </row>
    <row r="29" spans="1:10" ht="12" customHeight="1">
      <c r="C29" s="19"/>
      <c r="D29" s="19"/>
      <c r="E29" s="19"/>
      <c r="F29" s="20"/>
      <c r="G29" s="21"/>
      <c r="H29" s="21"/>
    </row>
    <row r="30" spans="1:10" ht="12" customHeight="1">
      <c r="C30" s="19"/>
      <c r="D30" s="19"/>
      <c r="E30" s="19"/>
      <c r="F30" s="20"/>
      <c r="G30" s="21"/>
      <c r="H30" s="21"/>
    </row>
    <row r="31" spans="1:10" ht="12" customHeight="1">
      <c r="C31" s="19"/>
      <c r="D31" s="19"/>
      <c r="E31" s="19"/>
      <c r="F31" s="20"/>
      <c r="G31" s="21"/>
      <c r="H31" s="21"/>
    </row>
    <row r="32" spans="1:10" ht="12" customHeight="1">
      <c r="C32" s="19"/>
      <c r="D32" s="19"/>
      <c r="E32" s="19"/>
      <c r="F32" s="20"/>
      <c r="G32" s="21"/>
      <c r="H32" s="21"/>
    </row>
    <row r="33" spans="3:8" ht="12" customHeight="1">
      <c r="C33" s="19"/>
      <c r="D33" s="19"/>
      <c r="E33" s="19"/>
      <c r="F33" s="20"/>
      <c r="G33" s="21"/>
      <c r="H33" s="21"/>
    </row>
    <row r="34" spans="3:8" ht="12" customHeight="1">
      <c r="C34" s="19"/>
      <c r="D34" s="19"/>
      <c r="E34" s="19"/>
      <c r="F34" s="20"/>
      <c r="G34" s="21"/>
      <c r="H34" s="21"/>
    </row>
    <row r="35" spans="3:8" ht="12" customHeight="1">
      <c r="C35" s="19"/>
      <c r="D35" s="19"/>
      <c r="E35" s="19"/>
      <c r="F35" s="20"/>
      <c r="G35" s="21"/>
      <c r="H35" s="21"/>
    </row>
    <row r="36" spans="3:8" ht="12" customHeight="1">
      <c r="C36" s="19"/>
      <c r="D36" s="19"/>
      <c r="E36" s="19"/>
      <c r="F36" s="20"/>
      <c r="G36" s="21"/>
      <c r="H36" s="21"/>
    </row>
    <row r="37" spans="3:8" ht="12" customHeight="1">
      <c r="C37" s="19"/>
      <c r="D37" s="19"/>
      <c r="E37" s="19"/>
      <c r="F37" s="20"/>
      <c r="G37" s="21"/>
      <c r="H37" s="21"/>
    </row>
    <row r="38" spans="3:8" ht="12" customHeight="1">
      <c r="C38" s="19"/>
      <c r="D38" s="19"/>
      <c r="E38" s="19"/>
      <c r="F38" s="20"/>
      <c r="G38" s="21"/>
      <c r="H38" s="21"/>
    </row>
    <row r="39" spans="3:8" ht="12" customHeight="1">
      <c r="C39" s="19"/>
      <c r="D39" s="19"/>
      <c r="E39" s="19"/>
      <c r="F39" s="20"/>
      <c r="G39" s="21"/>
      <c r="H39" s="21"/>
    </row>
    <row r="40" spans="3:8" ht="12" customHeight="1">
      <c r="C40" s="19"/>
      <c r="D40" s="19"/>
      <c r="E40" s="19"/>
      <c r="F40" s="20"/>
      <c r="G40" s="21"/>
      <c r="H40" s="21"/>
    </row>
    <row r="41" spans="3:8" ht="12" customHeight="1">
      <c r="C41" s="19"/>
      <c r="D41" s="19"/>
      <c r="E41" s="19"/>
      <c r="F41" s="20"/>
      <c r="G41" s="21"/>
      <c r="H41" s="21"/>
    </row>
    <row r="42" spans="3:8" ht="12" customHeight="1">
      <c r="C42" s="19"/>
      <c r="D42" s="19"/>
      <c r="E42" s="19"/>
      <c r="F42" s="20"/>
      <c r="G42" s="21"/>
      <c r="H42" s="21"/>
    </row>
    <row r="43" spans="3:8" ht="12" customHeight="1">
      <c r="C43" s="19"/>
      <c r="D43" s="19"/>
      <c r="E43" s="19"/>
      <c r="F43" s="20"/>
      <c r="G43" s="21"/>
      <c r="H43" s="21"/>
    </row>
    <row r="44" spans="3:8" ht="12" customHeight="1">
      <c r="C44" s="19"/>
      <c r="D44" s="19"/>
      <c r="E44" s="19"/>
      <c r="F44" s="20"/>
      <c r="G44" s="21"/>
      <c r="H44" s="21"/>
    </row>
    <row r="45" spans="3:8" ht="12" customHeight="1">
      <c r="C45" s="19"/>
      <c r="D45" s="19"/>
      <c r="E45" s="19"/>
      <c r="F45" s="20"/>
      <c r="G45" s="21"/>
      <c r="H45" s="21"/>
    </row>
    <row r="46" spans="3:8" ht="12" customHeight="1">
      <c r="C46" s="19"/>
      <c r="D46" s="19"/>
      <c r="E46" s="19"/>
      <c r="F46" s="20"/>
      <c r="G46" s="21"/>
      <c r="H46" s="21"/>
    </row>
    <row r="47" spans="3:8" ht="12" customHeight="1">
      <c r="C47" s="19"/>
      <c r="D47" s="19"/>
      <c r="E47" s="19"/>
      <c r="F47" s="20"/>
      <c r="G47" s="21"/>
      <c r="H47" s="21"/>
    </row>
    <row r="48" spans="3:8" ht="12" customHeight="1">
      <c r="C48" s="19"/>
      <c r="D48" s="19"/>
      <c r="E48" s="19"/>
      <c r="F48" s="20"/>
      <c r="G48" s="21"/>
      <c r="H48" s="21"/>
    </row>
    <row r="49" spans="3:8" ht="12" customHeight="1">
      <c r="C49" s="19"/>
      <c r="D49" s="19"/>
      <c r="E49" s="19"/>
      <c r="F49" s="20"/>
      <c r="G49" s="21"/>
      <c r="H49" s="21"/>
    </row>
    <row r="50" spans="3:8" ht="12" customHeight="1">
      <c r="C50" s="19"/>
      <c r="D50" s="19"/>
      <c r="E50" s="19"/>
      <c r="F50" s="20"/>
      <c r="G50" s="21"/>
      <c r="H50" s="21"/>
    </row>
    <row r="51" spans="3:8" ht="12" customHeight="1">
      <c r="C51" s="19"/>
      <c r="D51" s="19"/>
      <c r="E51" s="19"/>
      <c r="F51" s="20"/>
      <c r="G51" s="21"/>
      <c r="H51" s="21"/>
    </row>
    <row r="52" spans="3:8" ht="12" customHeight="1">
      <c r="C52" s="19"/>
      <c r="D52" s="19"/>
      <c r="E52" s="19"/>
      <c r="F52" s="20"/>
      <c r="G52" s="21"/>
      <c r="H52" s="21"/>
    </row>
    <row r="53" spans="3:8" ht="12" customHeight="1">
      <c r="C53" s="19"/>
      <c r="D53" s="19"/>
      <c r="E53" s="19"/>
      <c r="F53" s="20"/>
      <c r="G53" s="21"/>
      <c r="H53" s="21"/>
    </row>
    <row r="54" spans="3:8" ht="12" customHeight="1">
      <c r="C54" s="19"/>
      <c r="D54" s="19"/>
      <c r="E54" s="19"/>
      <c r="F54" s="20"/>
      <c r="G54" s="21"/>
      <c r="H54" s="21"/>
    </row>
    <row r="55" spans="3:8" ht="12" customHeight="1">
      <c r="C55" s="19"/>
      <c r="D55" s="19"/>
      <c r="E55" s="19"/>
      <c r="F55" s="20"/>
      <c r="G55" s="21"/>
      <c r="H55" s="21"/>
    </row>
    <row r="56" spans="3:8" ht="12" customHeight="1">
      <c r="C56" s="19"/>
      <c r="D56" s="19"/>
      <c r="E56" s="19"/>
      <c r="F56" s="20"/>
      <c r="G56" s="21"/>
      <c r="H56" s="21"/>
    </row>
    <row r="57" spans="3:8" ht="12" customHeight="1">
      <c r="C57" s="19"/>
      <c r="D57" s="19"/>
      <c r="E57" s="19"/>
      <c r="F57" s="20"/>
      <c r="G57" s="21"/>
      <c r="H57" s="21"/>
    </row>
    <row r="58" spans="3:8" ht="12" customHeight="1">
      <c r="C58" s="19"/>
      <c r="D58" s="19"/>
      <c r="E58" s="19"/>
      <c r="F58" s="20"/>
      <c r="G58" s="21"/>
      <c r="H58" s="21"/>
    </row>
    <row r="59" spans="3:8" ht="12" customHeight="1">
      <c r="C59" s="19"/>
      <c r="D59" s="19"/>
      <c r="E59" s="19"/>
      <c r="F59" s="20"/>
      <c r="G59" s="21"/>
      <c r="H59" s="21"/>
    </row>
    <row r="60" spans="3:8" ht="12" customHeight="1">
      <c r="C60" s="19"/>
      <c r="D60" s="19"/>
      <c r="E60" s="19"/>
      <c r="F60" s="20"/>
      <c r="G60" s="21"/>
      <c r="H60" s="21"/>
    </row>
    <row r="61" spans="3:8" ht="12" customHeight="1">
      <c r="C61" s="19"/>
      <c r="D61" s="19"/>
      <c r="E61" s="19"/>
      <c r="F61" s="20"/>
      <c r="G61" s="21"/>
      <c r="H61" s="21"/>
    </row>
    <row r="62" spans="3:8" ht="12" customHeight="1">
      <c r="C62" s="19"/>
      <c r="D62" s="19"/>
      <c r="E62" s="19"/>
      <c r="F62" s="20"/>
      <c r="G62" s="21"/>
      <c r="H62" s="21"/>
    </row>
    <row r="63" spans="3:8" ht="12" customHeight="1">
      <c r="C63" s="19"/>
      <c r="D63" s="19"/>
      <c r="E63" s="19"/>
      <c r="F63" s="20"/>
      <c r="G63" s="21"/>
      <c r="H63" s="21"/>
    </row>
    <row r="64" spans="3:8" ht="12" customHeight="1">
      <c r="C64" s="19"/>
      <c r="D64" s="19"/>
      <c r="E64" s="19"/>
      <c r="F64" s="20"/>
      <c r="G64" s="21"/>
      <c r="H64" s="21"/>
    </row>
    <row r="65" spans="3:8" ht="12" customHeight="1">
      <c r="C65" s="19"/>
      <c r="D65" s="19"/>
      <c r="E65" s="19"/>
      <c r="F65" s="20"/>
      <c r="G65" s="21"/>
      <c r="H65" s="21"/>
    </row>
    <row r="66" spans="3:8" ht="12" customHeight="1">
      <c r="C66" s="19"/>
      <c r="D66" s="19"/>
      <c r="E66" s="19"/>
      <c r="F66" s="20"/>
      <c r="G66" s="21"/>
      <c r="H66" s="21"/>
    </row>
    <row r="67" spans="3:8" ht="12" customHeight="1">
      <c r="C67" s="19"/>
      <c r="D67" s="19"/>
      <c r="E67" s="19"/>
      <c r="F67" s="20"/>
      <c r="G67" s="21"/>
      <c r="H67" s="21"/>
    </row>
    <row r="68" spans="3:8" ht="12" customHeight="1">
      <c r="C68" s="19"/>
      <c r="D68" s="19"/>
      <c r="E68" s="19"/>
      <c r="F68" s="20"/>
      <c r="G68" s="21"/>
      <c r="H68" s="21"/>
    </row>
    <row r="69" spans="3:8" ht="12" customHeight="1">
      <c r="C69" s="19"/>
      <c r="D69" s="19"/>
      <c r="E69" s="19"/>
      <c r="F69" s="20"/>
      <c r="G69" s="21"/>
      <c r="H69" s="21"/>
    </row>
    <row r="70" spans="3:8" ht="12" customHeight="1">
      <c r="C70" s="19"/>
      <c r="D70" s="19"/>
      <c r="E70" s="19"/>
      <c r="F70" s="20"/>
      <c r="G70" s="21"/>
      <c r="H70" s="21"/>
    </row>
    <row r="71" spans="3:8" ht="12" customHeight="1">
      <c r="C71" s="19"/>
      <c r="D71" s="19"/>
      <c r="E71" s="19"/>
      <c r="F71" s="20"/>
      <c r="G71" s="21"/>
      <c r="H71" s="21"/>
    </row>
    <row r="72" spans="3:8" ht="12" customHeight="1">
      <c r="C72" s="19"/>
      <c r="D72" s="19"/>
      <c r="E72" s="19"/>
      <c r="F72" s="20"/>
      <c r="G72" s="21"/>
      <c r="H72" s="21"/>
    </row>
    <row r="73" spans="3:8" ht="12" customHeight="1">
      <c r="C73" s="19"/>
      <c r="D73" s="19"/>
      <c r="E73" s="19"/>
      <c r="F73" s="20"/>
      <c r="G73" s="21"/>
      <c r="H73" s="21"/>
    </row>
    <row r="74" spans="3:8" ht="12" customHeight="1">
      <c r="C74" s="19"/>
      <c r="D74" s="19"/>
      <c r="E74" s="19"/>
      <c r="F74" s="20"/>
      <c r="G74" s="21"/>
      <c r="H74" s="21"/>
    </row>
    <row r="75" spans="3:8" ht="12" customHeight="1">
      <c r="C75" s="19"/>
      <c r="D75" s="19"/>
      <c r="E75" s="19"/>
      <c r="F75" s="20"/>
      <c r="G75" s="21"/>
      <c r="H75" s="21"/>
    </row>
    <row r="76" spans="3:8" ht="12" customHeight="1">
      <c r="C76" s="19"/>
      <c r="D76" s="19"/>
      <c r="E76" s="19"/>
      <c r="F76" s="20"/>
      <c r="G76" s="21"/>
      <c r="H76" s="21"/>
    </row>
    <row r="77" spans="3:8" ht="12" customHeight="1">
      <c r="C77" s="19"/>
      <c r="D77" s="19"/>
      <c r="E77" s="19"/>
      <c r="F77" s="20"/>
      <c r="G77" s="21"/>
      <c r="H77" s="21"/>
    </row>
    <row r="78" spans="3:8" ht="12" customHeight="1">
      <c r="C78" s="19"/>
      <c r="D78" s="19"/>
      <c r="E78" s="19"/>
      <c r="F78" s="20"/>
      <c r="G78" s="21"/>
      <c r="H78" s="21"/>
    </row>
    <row r="79" spans="3:8" ht="12" customHeight="1">
      <c r="C79" s="19"/>
      <c r="D79" s="19"/>
      <c r="E79" s="19"/>
      <c r="F79" s="20"/>
      <c r="G79" s="21"/>
      <c r="H79" s="21"/>
    </row>
    <row r="80" spans="3:8" ht="12" customHeight="1">
      <c r="C80" s="19"/>
      <c r="D80" s="19"/>
      <c r="E80" s="19"/>
      <c r="F80" s="20"/>
      <c r="G80" s="21"/>
      <c r="H80" s="21"/>
    </row>
    <row r="81" spans="3:8" ht="12" customHeight="1">
      <c r="C81" s="19"/>
      <c r="D81" s="19"/>
      <c r="E81" s="19"/>
      <c r="F81" s="20"/>
      <c r="G81" s="21"/>
      <c r="H81" s="21"/>
    </row>
    <row r="82" spans="3:8" ht="12" customHeight="1">
      <c r="C82" s="19"/>
      <c r="D82" s="19"/>
      <c r="E82" s="19"/>
      <c r="F82" s="20"/>
      <c r="G82" s="21"/>
      <c r="H82" s="21"/>
    </row>
    <row r="83" spans="3:8" ht="12" customHeight="1">
      <c r="C83" s="19"/>
      <c r="D83" s="19"/>
      <c r="E83" s="19"/>
      <c r="F83" s="20"/>
      <c r="G83" s="21"/>
      <c r="H83" s="21"/>
    </row>
    <row r="84" spans="3:8" ht="12" customHeight="1">
      <c r="C84" s="19"/>
      <c r="D84" s="19"/>
      <c r="E84" s="19"/>
      <c r="F84" s="20"/>
      <c r="G84" s="21"/>
      <c r="H84" s="21"/>
    </row>
    <row r="85" spans="3:8" ht="12" customHeight="1">
      <c r="C85" s="19"/>
      <c r="D85" s="19"/>
      <c r="E85" s="19"/>
      <c r="F85" s="20"/>
      <c r="G85" s="21"/>
      <c r="H85" s="21"/>
    </row>
    <row r="86" spans="3:8" ht="12" customHeight="1">
      <c r="C86" s="19"/>
      <c r="D86" s="19"/>
      <c r="E86" s="19"/>
      <c r="F86" s="20"/>
      <c r="G86" s="21"/>
      <c r="H86" s="21"/>
    </row>
    <row r="87" spans="3:8" ht="12" customHeight="1">
      <c r="C87" s="19"/>
      <c r="D87" s="19"/>
      <c r="E87" s="19"/>
      <c r="F87" s="20"/>
      <c r="G87" s="21"/>
      <c r="H87" s="21"/>
    </row>
    <row r="88" spans="3:8" ht="12" customHeight="1">
      <c r="C88" s="19"/>
      <c r="D88" s="19"/>
      <c r="E88" s="19"/>
      <c r="F88" s="20"/>
      <c r="G88" s="21"/>
      <c r="H88" s="21"/>
    </row>
    <row r="89" spans="3:8" ht="12" customHeight="1">
      <c r="C89" s="19"/>
      <c r="D89" s="19"/>
      <c r="E89" s="19"/>
      <c r="F89" s="20"/>
      <c r="G89" s="21"/>
      <c r="H89" s="21"/>
    </row>
    <row r="90" spans="3:8" ht="12" customHeight="1">
      <c r="C90" s="19"/>
      <c r="D90" s="19"/>
      <c r="E90" s="19"/>
      <c r="F90" s="20"/>
      <c r="G90" s="21"/>
      <c r="H90" s="21"/>
    </row>
    <row r="91" spans="3:8" ht="12" customHeight="1">
      <c r="C91" s="19"/>
      <c r="D91" s="19"/>
      <c r="E91" s="19"/>
      <c r="F91" s="20"/>
      <c r="G91" s="21"/>
      <c r="H91" s="21"/>
    </row>
    <row r="92" spans="3:8" ht="12" customHeight="1">
      <c r="C92" s="19"/>
      <c r="D92" s="19"/>
      <c r="E92" s="19"/>
      <c r="F92" s="20"/>
      <c r="G92" s="21"/>
      <c r="H92" s="21"/>
    </row>
    <row r="93" spans="3:8" ht="12" customHeight="1">
      <c r="C93" s="19"/>
      <c r="D93" s="19"/>
      <c r="E93" s="19"/>
      <c r="F93" s="20"/>
      <c r="G93" s="21"/>
      <c r="H93" s="21"/>
    </row>
    <row r="94" spans="3:8" ht="12" customHeight="1">
      <c r="C94" s="19"/>
      <c r="D94" s="19"/>
      <c r="E94" s="19"/>
      <c r="F94" s="20"/>
      <c r="G94" s="21"/>
      <c r="H94" s="21"/>
    </row>
    <row r="95" spans="3:8" ht="12" customHeight="1">
      <c r="C95" s="19"/>
      <c r="D95" s="19"/>
      <c r="E95" s="19"/>
      <c r="F95" s="20"/>
      <c r="G95" s="21"/>
      <c r="H95" s="21"/>
    </row>
    <row r="96" spans="3:8" ht="12" customHeight="1">
      <c r="C96" s="19"/>
      <c r="D96" s="19"/>
      <c r="E96" s="19"/>
      <c r="F96" s="20"/>
      <c r="G96" s="21"/>
      <c r="H96" s="21"/>
    </row>
    <row r="97" spans="3:8" ht="12" customHeight="1">
      <c r="C97" s="19"/>
      <c r="D97" s="19"/>
      <c r="E97" s="19"/>
      <c r="F97" s="20"/>
      <c r="G97" s="21"/>
      <c r="H97" s="21"/>
    </row>
    <row r="98" spans="3:8" ht="12" customHeight="1">
      <c r="C98" s="19"/>
      <c r="D98" s="19"/>
      <c r="E98" s="19"/>
      <c r="F98" s="20"/>
      <c r="G98" s="21"/>
      <c r="H98" s="21"/>
    </row>
    <row r="99" spans="3:8" ht="12" customHeight="1">
      <c r="C99" s="19"/>
      <c r="D99" s="19"/>
      <c r="E99" s="19"/>
      <c r="F99" s="20"/>
      <c r="G99" s="21"/>
      <c r="H99" s="21"/>
    </row>
    <row r="100" spans="3:8" ht="12" customHeight="1">
      <c r="C100" s="19"/>
      <c r="D100" s="19"/>
      <c r="E100" s="19"/>
      <c r="F100" s="20"/>
      <c r="G100" s="21"/>
      <c r="H100" s="21"/>
    </row>
    <row r="101" spans="3:8" ht="12" customHeight="1">
      <c r="C101" s="19"/>
      <c r="D101" s="19"/>
      <c r="E101" s="19"/>
      <c r="F101" s="20"/>
      <c r="G101" s="21"/>
      <c r="H101" s="21"/>
    </row>
    <row r="102" spans="3:8" ht="12" customHeight="1">
      <c r="C102" s="19"/>
      <c r="D102" s="19"/>
      <c r="E102" s="19"/>
      <c r="F102" s="20"/>
      <c r="G102" s="21"/>
      <c r="H102" s="21"/>
    </row>
    <row r="103" spans="3:8" ht="12" customHeight="1">
      <c r="C103" s="19"/>
      <c r="D103" s="19"/>
      <c r="E103" s="19"/>
      <c r="F103" s="20"/>
      <c r="G103" s="21"/>
      <c r="H103" s="21"/>
    </row>
    <row r="104" spans="3:8" ht="12" customHeight="1">
      <c r="C104" s="19"/>
      <c r="D104" s="19"/>
      <c r="E104" s="19"/>
      <c r="F104" s="20"/>
      <c r="G104" s="21"/>
      <c r="H104" s="21"/>
    </row>
    <row r="105" spans="3:8" ht="12" customHeight="1">
      <c r="C105" s="19"/>
      <c r="D105" s="19"/>
      <c r="E105" s="19"/>
      <c r="F105" s="20"/>
      <c r="G105" s="21"/>
      <c r="H105" s="21"/>
    </row>
    <row r="106" spans="3:8" ht="12" customHeight="1">
      <c r="C106" s="19"/>
      <c r="D106" s="19"/>
      <c r="E106" s="19"/>
      <c r="F106" s="20"/>
      <c r="G106" s="21"/>
      <c r="H106" s="21"/>
    </row>
    <row r="107" spans="3:8" ht="12" customHeight="1">
      <c r="C107" s="19"/>
      <c r="D107" s="19"/>
      <c r="E107" s="19"/>
      <c r="F107" s="20"/>
      <c r="G107" s="21"/>
      <c r="H107" s="21"/>
    </row>
    <row r="108" spans="3:8" ht="12" customHeight="1">
      <c r="C108" s="19"/>
      <c r="D108" s="19"/>
      <c r="E108" s="19"/>
      <c r="F108" s="20"/>
      <c r="G108" s="21"/>
      <c r="H108" s="21"/>
    </row>
    <row r="109" spans="3:8" ht="12" customHeight="1">
      <c r="C109" s="19"/>
      <c r="D109" s="19"/>
      <c r="E109" s="19"/>
      <c r="F109" s="20"/>
      <c r="G109" s="21"/>
      <c r="H109" s="21"/>
    </row>
    <row r="110" spans="3:8" ht="12" customHeight="1">
      <c r="C110" s="19"/>
      <c r="D110" s="19"/>
      <c r="E110" s="19"/>
      <c r="F110" s="20"/>
      <c r="G110" s="21"/>
      <c r="H110" s="21"/>
    </row>
    <row r="111" spans="3:8" ht="12" customHeight="1">
      <c r="C111" s="19"/>
      <c r="D111" s="19"/>
      <c r="E111" s="19"/>
      <c r="F111" s="20"/>
      <c r="G111" s="21"/>
      <c r="H111" s="21"/>
    </row>
    <row r="112" spans="3:8" ht="12" customHeight="1">
      <c r="C112" s="19"/>
      <c r="D112" s="19"/>
      <c r="E112" s="19"/>
      <c r="F112" s="20"/>
      <c r="G112" s="21"/>
      <c r="H112" s="21"/>
    </row>
    <row r="113" spans="3:8" ht="12" customHeight="1">
      <c r="C113" s="19"/>
      <c r="D113" s="19"/>
      <c r="E113" s="19"/>
      <c r="F113" s="20"/>
      <c r="G113" s="21"/>
      <c r="H113" s="21"/>
    </row>
    <row r="114" spans="3:8" ht="12" customHeight="1">
      <c r="C114" s="19"/>
      <c r="D114" s="19"/>
      <c r="E114" s="19"/>
      <c r="F114" s="20"/>
      <c r="G114" s="21"/>
      <c r="H114" s="21"/>
    </row>
    <row r="115" spans="3:8" ht="12" customHeight="1">
      <c r="C115" s="19"/>
      <c r="D115" s="19"/>
      <c r="E115" s="19"/>
      <c r="F115" s="20"/>
      <c r="G115" s="21"/>
      <c r="H115" s="21"/>
    </row>
    <row r="116" spans="3:8" ht="12" customHeight="1">
      <c r="C116" s="19"/>
      <c r="D116" s="19"/>
      <c r="E116" s="19"/>
      <c r="F116" s="20"/>
      <c r="G116" s="21"/>
      <c r="H116" s="21"/>
    </row>
    <row r="117" spans="3:8" ht="12" customHeight="1">
      <c r="C117" s="19"/>
      <c r="D117" s="19"/>
      <c r="E117" s="19"/>
      <c r="F117" s="20"/>
      <c r="G117" s="21"/>
      <c r="H117" s="21"/>
    </row>
    <row r="118" spans="3:8" ht="12" customHeight="1">
      <c r="C118" s="19"/>
      <c r="D118" s="19"/>
      <c r="E118" s="19"/>
      <c r="F118" s="20"/>
      <c r="G118" s="21"/>
      <c r="H118" s="21"/>
    </row>
    <row r="119" spans="3:8" ht="12" customHeight="1">
      <c r="C119" s="19"/>
      <c r="D119" s="19"/>
      <c r="E119" s="19"/>
      <c r="F119" s="20"/>
      <c r="G119" s="21"/>
      <c r="H119" s="21"/>
    </row>
    <row r="120" spans="3:8" ht="12" customHeight="1">
      <c r="C120" s="19"/>
      <c r="D120" s="19"/>
      <c r="E120" s="19"/>
      <c r="F120" s="20"/>
      <c r="G120" s="21"/>
      <c r="H120" s="21"/>
    </row>
    <row r="121" spans="3:8" ht="12" customHeight="1">
      <c r="C121" s="19"/>
      <c r="D121" s="19"/>
      <c r="E121" s="19"/>
      <c r="F121" s="20"/>
      <c r="G121" s="21"/>
      <c r="H121" s="21"/>
    </row>
    <row r="122" spans="3:8" ht="12" customHeight="1">
      <c r="C122" s="19"/>
      <c r="D122" s="19"/>
      <c r="E122" s="19"/>
      <c r="F122" s="20"/>
      <c r="G122" s="21"/>
      <c r="H122" s="21"/>
    </row>
    <row r="123" spans="3:8" ht="12" customHeight="1">
      <c r="C123" s="19"/>
      <c r="D123" s="19"/>
      <c r="E123" s="19"/>
      <c r="F123" s="20"/>
      <c r="G123" s="21"/>
      <c r="H123" s="21"/>
    </row>
    <row r="124" spans="3:8" ht="12" customHeight="1">
      <c r="C124" s="19"/>
      <c r="D124" s="19"/>
      <c r="E124" s="19"/>
      <c r="F124" s="20"/>
      <c r="G124" s="21"/>
      <c r="H124" s="21"/>
    </row>
  </sheetData>
  <mergeCells count="6">
    <mergeCell ref="A14:I14"/>
    <mergeCell ref="A12:I12"/>
    <mergeCell ref="A4:I4"/>
    <mergeCell ref="A10:I10"/>
    <mergeCell ref="A6:I6"/>
    <mergeCell ref="A8:I8"/>
  </mergeCells>
  <phoneticPr fontId="3" type="noConversion"/>
  <pageMargins left="0.74803149606299213" right="0.74803149606299213" top="0.88" bottom="1.03" header="0.66" footer="0.76"/>
  <pageSetup paperSize="9" scale="85" fitToHeight="3" orientation="landscape" r:id="rId1"/>
  <headerFooter alignWithMargins="0"/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115"/>
  <sheetViews>
    <sheetView view="pageBreakPreview" zoomScaleNormal="115" workbookViewId="0">
      <selection activeCell="A2" sqref="A2"/>
    </sheetView>
  </sheetViews>
  <sheetFormatPr defaultRowHeight="12" customHeight="1"/>
  <cols>
    <col min="1" max="1" width="6.109375" style="18" customWidth="1"/>
    <col min="2" max="2" width="3.88671875" style="18" customWidth="1"/>
    <col min="3" max="3" width="5.5546875" style="18" customWidth="1"/>
    <col min="4" max="4" width="44.44140625" style="14" customWidth="1"/>
    <col min="5" max="7" width="7.77734375" style="14" customWidth="1"/>
    <col min="8" max="9" width="7.77734375" style="15" customWidth="1"/>
    <col min="10" max="10" width="7.77734375" style="22" customWidth="1"/>
    <col min="11" max="11" width="5" style="10" customWidth="1"/>
    <col min="12" max="16384" width="8.88671875" style="10"/>
  </cols>
  <sheetData>
    <row r="1" spans="1:13" s="7" customFormat="1" ht="30" customHeight="1" thickBot="1">
      <c r="A1" s="99" t="s">
        <v>576</v>
      </c>
      <c r="B1" s="1"/>
      <c r="C1" s="1"/>
      <c r="D1" s="24"/>
      <c r="E1" s="1"/>
      <c r="F1" s="1"/>
      <c r="G1" s="1"/>
      <c r="H1" s="2"/>
      <c r="I1" s="2"/>
      <c r="J1" s="2"/>
      <c r="K1" s="5"/>
      <c r="L1" s="6"/>
      <c r="M1" s="6"/>
    </row>
    <row r="2" spans="1:13" s="47" customFormat="1" ht="39.950000000000003" customHeight="1">
      <c r="A2" s="143" t="s">
        <v>213</v>
      </c>
      <c r="B2" s="105" t="s">
        <v>15</v>
      </c>
      <c r="C2" s="105" t="s">
        <v>231</v>
      </c>
      <c r="D2" s="105" t="s">
        <v>214</v>
      </c>
      <c r="E2" s="104" t="s">
        <v>215</v>
      </c>
      <c r="F2" s="105" t="s">
        <v>216</v>
      </c>
      <c r="G2" s="106" t="s">
        <v>191</v>
      </c>
      <c r="H2" s="106" t="s">
        <v>189</v>
      </c>
      <c r="I2" s="106" t="s">
        <v>190</v>
      </c>
      <c r="J2" s="107" t="s">
        <v>217</v>
      </c>
      <c r="K2" s="144" t="s">
        <v>19</v>
      </c>
    </row>
    <row r="3" spans="1:13" s="83" customFormat="1" ht="45" customHeight="1">
      <c r="A3" s="179" t="s">
        <v>218</v>
      </c>
      <c r="B3" s="75">
        <v>1</v>
      </c>
      <c r="C3" s="61">
        <v>401</v>
      </c>
      <c r="D3" s="61" t="s">
        <v>552</v>
      </c>
      <c r="E3" s="76">
        <v>1</v>
      </c>
      <c r="F3" s="77">
        <v>2058</v>
      </c>
      <c r="G3" s="77">
        <v>2</v>
      </c>
      <c r="H3" s="79">
        <f t="shared" ref="H3:H5" si="0">IF(F3&gt;=2000,1,IF(F3&gt;=1800,0.9,IF(F3&gt;=1600,0.8,IF(F3&gt;=1400,0.7,IF(F3&gt;=1200,0.6,0)))))</f>
        <v>1</v>
      </c>
      <c r="I3" s="80">
        <f t="shared" ref="I3:I5" si="1">IF(G3&gt;=5,1,IF(G3&gt;=4,0.9,IF(G3&gt;=3,0.8,IF(G3&gt;=2,0.7,IF(G3&gt;=1,0.6,0)))))</f>
        <v>0.7</v>
      </c>
      <c r="J3" s="81">
        <f>배점기준!$E$101*MAX(H3,I3)*E3</f>
        <v>1</v>
      </c>
      <c r="K3" s="82"/>
    </row>
    <row r="4" spans="1:13" s="83" customFormat="1" ht="45" customHeight="1">
      <c r="A4" s="179" t="s">
        <v>218</v>
      </c>
      <c r="B4" s="75">
        <v>2</v>
      </c>
      <c r="C4" s="61">
        <v>441</v>
      </c>
      <c r="D4" s="61" t="s">
        <v>553</v>
      </c>
      <c r="E4" s="76">
        <v>1</v>
      </c>
      <c r="F4" s="77">
        <v>1943</v>
      </c>
      <c r="G4" s="77">
        <v>1</v>
      </c>
      <c r="H4" s="79">
        <f t="shared" si="0"/>
        <v>0.9</v>
      </c>
      <c r="I4" s="80">
        <f t="shared" si="1"/>
        <v>0.6</v>
      </c>
      <c r="J4" s="81">
        <f>배점기준!$E$101*MAX(H4,I4)*E4</f>
        <v>0.9</v>
      </c>
      <c r="K4" s="82"/>
    </row>
    <row r="5" spans="1:13" s="57" customFormat="1" ht="45" customHeight="1">
      <c r="A5" s="179" t="s">
        <v>218</v>
      </c>
      <c r="B5" s="75">
        <v>3</v>
      </c>
      <c r="C5" s="61">
        <v>453</v>
      </c>
      <c r="D5" s="61" t="s">
        <v>554</v>
      </c>
      <c r="E5" s="76">
        <v>1</v>
      </c>
      <c r="F5" s="77">
        <v>3326</v>
      </c>
      <c r="G5" s="77">
        <v>5</v>
      </c>
      <c r="H5" s="79">
        <f t="shared" si="0"/>
        <v>1</v>
      </c>
      <c r="I5" s="80">
        <f t="shared" si="1"/>
        <v>1</v>
      </c>
      <c r="J5" s="81">
        <f>배점기준!$E$101*MAX(H5,I5)*E5</f>
        <v>1</v>
      </c>
      <c r="K5" s="82"/>
    </row>
    <row r="6" spans="1:13" s="83" customFormat="1" ht="45" customHeight="1">
      <c r="A6" s="1152" t="s">
        <v>184</v>
      </c>
      <c r="B6" s="1153"/>
      <c r="C6" s="1153"/>
      <c r="D6" s="1153"/>
      <c r="E6" s="1153"/>
      <c r="F6" s="1153"/>
      <c r="G6" s="1153"/>
      <c r="H6" s="1153"/>
      <c r="I6" s="1154"/>
      <c r="J6" s="110">
        <f>SUM(J3:J5)</f>
        <v>2.9</v>
      </c>
      <c r="K6" s="82"/>
    </row>
    <row r="7" spans="1:13" s="83" customFormat="1" ht="45" customHeight="1">
      <c r="A7" s="171" t="s">
        <v>555</v>
      </c>
      <c r="B7" s="159">
        <v>12</v>
      </c>
      <c r="C7" s="159" t="s">
        <v>556</v>
      </c>
      <c r="D7" s="158" t="s">
        <v>557</v>
      </c>
      <c r="E7" s="169">
        <v>0.6</v>
      </c>
      <c r="F7" s="170">
        <v>97</v>
      </c>
      <c r="G7" s="170">
        <v>1</v>
      </c>
      <c r="H7" s="79">
        <f>IF(F7&gt;=2000,1,IF(F7&gt;=1800,0.9,IF(F7&gt;=1600,0.8,IF(F7&gt;=1400,0.7,IF(F7&gt;=1200,0.6,0)))))</f>
        <v>0</v>
      </c>
      <c r="I7" s="80">
        <f>IF(G7&gt;=5,1,IF(G7&gt;=4,0.9,IF(G7&gt;=3,0.8,IF(G7&gt;=2,0.7,IF(G7&gt;=1,0.6,0)))))</f>
        <v>0.6</v>
      </c>
      <c r="J7" s="81">
        <f>배점기준!$F$94*MAX(H7,I7)*E7</f>
        <v>0.36</v>
      </c>
      <c r="K7" s="82"/>
    </row>
    <row r="8" spans="1:13" s="83" customFormat="1" ht="45" customHeight="1">
      <c r="A8" s="1150" t="s">
        <v>220</v>
      </c>
      <c r="B8" s="1151"/>
      <c r="C8" s="1151"/>
      <c r="D8" s="1151"/>
      <c r="E8" s="1151"/>
      <c r="F8" s="1151"/>
      <c r="G8" s="1151"/>
      <c r="H8" s="1151"/>
      <c r="I8" s="1151"/>
      <c r="J8" s="110">
        <f>SUM(J7:J7)</f>
        <v>0.36</v>
      </c>
      <c r="K8" s="82"/>
    </row>
    <row r="9" spans="1:13" s="57" customFormat="1" ht="45" customHeight="1">
      <c r="A9" s="180" t="s">
        <v>186</v>
      </c>
      <c r="B9" s="75"/>
      <c r="C9" s="75"/>
      <c r="D9" s="75"/>
      <c r="E9" s="76"/>
      <c r="F9" s="77"/>
      <c r="G9" s="77"/>
      <c r="H9" s="79"/>
      <c r="I9" s="80"/>
      <c r="J9" s="81"/>
      <c r="K9" s="82"/>
    </row>
    <row r="10" spans="1:13" s="83" customFormat="1" ht="45" customHeight="1" thickBot="1">
      <c r="A10" s="1148" t="s">
        <v>221</v>
      </c>
      <c r="B10" s="1149"/>
      <c r="C10" s="1149"/>
      <c r="D10" s="1149"/>
      <c r="E10" s="1149"/>
      <c r="F10" s="1149"/>
      <c r="G10" s="1149"/>
      <c r="H10" s="1149"/>
      <c r="I10" s="1149"/>
      <c r="J10" s="111">
        <f>SUM(J9:J9)</f>
        <v>0</v>
      </c>
      <c r="K10" s="84"/>
    </row>
    <row r="11" spans="1:13" ht="15" customHeight="1">
      <c r="E11" s="19"/>
      <c r="F11" s="19"/>
      <c r="G11" s="19"/>
      <c r="H11" s="20"/>
      <c r="I11" s="20"/>
      <c r="J11" s="21"/>
    </row>
    <row r="12" spans="1:13" ht="15" customHeight="1">
      <c r="E12" s="19"/>
      <c r="F12" s="19"/>
      <c r="G12" s="19"/>
      <c r="H12" s="20"/>
      <c r="I12" s="20"/>
      <c r="J12" s="21"/>
    </row>
    <row r="13" spans="1:13" ht="15" customHeight="1">
      <c r="E13" s="19"/>
      <c r="F13" s="19"/>
      <c r="G13" s="19"/>
      <c r="H13" s="20"/>
      <c r="I13" s="20"/>
      <c r="J13" s="21"/>
    </row>
    <row r="14" spans="1:13" ht="15" customHeight="1">
      <c r="E14" s="19"/>
      <c r="F14" s="19"/>
      <c r="G14" s="19"/>
      <c r="H14" s="20"/>
      <c r="I14" s="20"/>
      <c r="J14" s="21"/>
    </row>
    <row r="15" spans="1:13" ht="15" customHeight="1">
      <c r="E15" s="19"/>
      <c r="F15" s="19"/>
      <c r="G15" s="19"/>
      <c r="H15" s="20"/>
      <c r="I15" s="20"/>
      <c r="J15" s="21"/>
    </row>
    <row r="16" spans="1:13" ht="12" customHeight="1">
      <c r="E16" s="19"/>
      <c r="F16" s="19"/>
      <c r="G16" s="19"/>
      <c r="H16" s="20"/>
      <c r="I16" s="20"/>
      <c r="J16" s="21"/>
    </row>
    <row r="17" spans="5:10" ht="12" customHeight="1">
      <c r="E17" s="19"/>
      <c r="F17" s="19"/>
      <c r="G17" s="19"/>
      <c r="H17" s="20"/>
      <c r="I17" s="20"/>
      <c r="J17" s="21"/>
    </row>
    <row r="18" spans="5:10" ht="12" customHeight="1">
      <c r="E18" s="19"/>
      <c r="F18" s="19"/>
      <c r="G18" s="19"/>
      <c r="H18" s="20"/>
      <c r="I18" s="20"/>
      <c r="J18" s="21"/>
    </row>
    <row r="19" spans="5:10" ht="12" customHeight="1">
      <c r="E19" s="19"/>
      <c r="F19" s="19"/>
      <c r="G19" s="19"/>
      <c r="H19" s="20"/>
      <c r="I19" s="20"/>
      <c r="J19" s="21"/>
    </row>
    <row r="20" spans="5:10" ht="12" customHeight="1">
      <c r="E20" s="19"/>
      <c r="F20" s="19"/>
      <c r="G20" s="19"/>
      <c r="H20" s="20"/>
      <c r="I20" s="20"/>
      <c r="J20" s="21"/>
    </row>
    <row r="21" spans="5:10" ht="12" customHeight="1">
      <c r="E21" s="19"/>
      <c r="F21" s="19"/>
      <c r="G21" s="19"/>
      <c r="H21" s="20"/>
      <c r="I21" s="20"/>
      <c r="J21" s="21"/>
    </row>
    <row r="22" spans="5:10" ht="12" customHeight="1">
      <c r="E22" s="19"/>
      <c r="F22" s="19"/>
      <c r="G22" s="19"/>
      <c r="H22" s="20"/>
      <c r="I22" s="20"/>
      <c r="J22" s="21"/>
    </row>
    <row r="23" spans="5:10" ht="12" customHeight="1">
      <c r="E23" s="19"/>
      <c r="F23" s="19"/>
      <c r="G23" s="19"/>
      <c r="H23" s="20"/>
      <c r="I23" s="20"/>
      <c r="J23" s="21"/>
    </row>
    <row r="24" spans="5:10" ht="12" customHeight="1">
      <c r="E24" s="19"/>
      <c r="F24" s="19"/>
      <c r="G24" s="19"/>
      <c r="H24" s="20"/>
      <c r="I24" s="20"/>
      <c r="J24" s="21"/>
    </row>
    <row r="25" spans="5:10" ht="12" customHeight="1">
      <c r="E25" s="19"/>
      <c r="F25" s="19"/>
      <c r="G25" s="19"/>
      <c r="H25" s="20"/>
      <c r="I25" s="20"/>
      <c r="J25" s="21"/>
    </row>
    <row r="26" spans="5:10" ht="12" customHeight="1">
      <c r="E26" s="19"/>
      <c r="F26" s="19"/>
      <c r="G26" s="19"/>
      <c r="H26" s="20"/>
      <c r="I26" s="20"/>
      <c r="J26" s="21"/>
    </row>
    <row r="27" spans="5:10" ht="12" customHeight="1">
      <c r="E27" s="19"/>
      <c r="F27" s="19"/>
      <c r="G27" s="19"/>
      <c r="H27" s="20"/>
      <c r="I27" s="20"/>
      <c r="J27" s="21"/>
    </row>
    <row r="28" spans="5:10" ht="12" customHeight="1">
      <c r="E28" s="19"/>
      <c r="F28" s="19"/>
      <c r="G28" s="19"/>
      <c r="H28" s="20"/>
      <c r="I28" s="20"/>
      <c r="J28" s="21"/>
    </row>
    <row r="29" spans="5:10" ht="12" customHeight="1">
      <c r="E29" s="19"/>
      <c r="F29" s="19"/>
      <c r="G29" s="19"/>
      <c r="H29" s="20"/>
      <c r="I29" s="20"/>
      <c r="J29" s="21"/>
    </row>
    <row r="30" spans="5:10" ht="12" customHeight="1">
      <c r="E30" s="19"/>
      <c r="F30" s="19"/>
      <c r="G30" s="19"/>
      <c r="H30" s="20"/>
      <c r="I30" s="20"/>
      <c r="J30" s="21"/>
    </row>
    <row r="31" spans="5:10" ht="12" customHeight="1">
      <c r="E31" s="19"/>
      <c r="F31" s="19"/>
      <c r="G31" s="19"/>
      <c r="H31" s="20"/>
      <c r="I31" s="20"/>
      <c r="J31" s="21"/>
    </row>
    <row r="32" spans="5:10" ht="12" customHeight="1">
      <c r="E32" s="19"/>
      <c r="F32" s="19"/>
      <c r="G32" s="19"/>
      <c r="H32" s="20"/>
      <c r="I32" s="20"/>
      <c r="J32" s="21"/>
    </row>
    <row r="33" spans="5:10" ht="12" customHeight="1">
      <c r="E33" s="19"/>
      <c r="F33" s="19"/>
      <c r="G33" s="19"/>
      <c r="H33" s="20"/>
      <c r="I33" s="20"/>
      <c r="J33" s="21"/>
    </row>
    <row r="34" spans="5:10" ht="12" customHeight="1">
      <c r="E34" s="19"/>
      <c r="F34" s="19"/>
      <c r="G34" s="19"/>
      <c r="H34" s="20"/>
      <c r="I34" s="20"/>
      <c r="J34" s="21"/>
    </row>
    <row r="35" spans="5:10" ht="12" customHeight="1">
      <c r="E35" s="19"/>
      <c r="F35" s="19"/>
      <c r="G35" s="19"/>
      <c r="H35" s="20"/>
      <c r="I35" s="20"/>
      <c r="J35" s="21"/>
    </row>
    <row r="36" spans="5:10" ht="12" customHeight="1">
      <c r="E36" s="19"/>
      <c r="F36" s="19"/>
      <c r="G36" s="19"/>
      <c r="H36" s="20"/>
      <c r="I36" s="20"/>
      <c r="J36" s="21"/>
    </row>
    <row r="37" spans="5:10" ht="12" customHeight="1">
      <c r="E37" s="19"/>
      <c r="F37" s="19"/>
      <c r="G37" s="19"/>
      <c r="H37" s="20"/>
      <c r="I37" s="20"/>
      <c r="J37" s="21"/>
    </row>
    <row r="38" spans="5:10" ht="12" customHeight="1">
      <c r="E38" s="19"/>
      <c r="F38" s="19"/>
      <c r="G38" s="19"/>
      <c r="H38" s="20"/>
      <c r="I38" s="20"/>
      <c r="J38" s="21"/>
    </row>
    <row r="39" spans="5:10" ht="12" customHeight="1">
      <c r="E39" s="19"/>
      <c r="F39" s="19"/>
      <c r="G39" s="19"/>
      <c r="H39" s="20"/>
      <c r="I39" s="20"/>
      <c r="J39" s="21"/>
    </row>
    <row r="40" spans="5:10" ht="12" customHeight="1">
      <c r="E40" s="19"/>
      <c r="F40" s="19"/>
      <c r="G40" s="19"/>
      <c r="H40" s="20"/>
      <c r="I40" s="20"/>
      <c r="J40" s="21"/>
    </row>
    <row r="41" spans="5:10" ht="12" customHeight="1">
      <c r="E41" s="19"/>
      <c r="F41" s="19"/>
      <c r="G41" s="19"/>
      <c r="H41" s="20"/>
      <c r="I41" s="20"/>
      <c r="J41" s="21"/>
    </row>
    <row r="42" spans="5:10" ht="12" customHeight="1">
      <c r="E42" s="19"/>
      <c r="F42" s="19"/>
      <c r="G42" s="19"/>
      <c r="H42" s="20"/>
      <c r="I42" s="20"/>
      <c r="J42" s="21"/>
    </row>
    <row r="43" spans="5:10" ht="12" customHeight="1">
      <c r="E43" s="19"/>
      <c r="F43" s="19"/>
      <c r="G43" s="19"/>
      <c r="H43" s="20"/>
      <c r="I43" s="20"/>
      <c r="J43" s="21"/>
    </row>
    <row r="44" spans="5:10" ht="12" customHeight="1">
      <c r="E44" s="19"/>
      <c r="F44" s="19"/>
      <c r="G44" s="19"/>
      <c r="H44" s="20"/>
      <c r="I44" s="20"/>
      <c r="J44" s="21"/>
    </row>
    <row r="45" spans="5:10" ht="12" customHeight="1">
      <c r="E45" s="19"/>
      <c r="F45" s="19"/>
      <c r="G45" s="19"/>
      <c r="H45" s="20"/>
      <c r="I45" s="20"/>
      <c r="J45" s="21"/>
    </row>
    <row r="46" spans="5:10" ht="12" customHeight="1">
      <c r="E46" s="19"/>
      <c r="F46" s="19"/>
      <c r="G46" s="19"/>
      <c r="H46" s="20"/>
      <c r="I46" s="20"/>
      <c r="J46" s="21"/>
    </row>
    <row r="47" spans="5:10" ht="12" customHeight="1">
      <c r="E47" s="19"/>
      <c r="F47" s="19"/>
      <c r="G47" s="19"/>
      <c r="H47" s="20"/>
      <c r="I47" s="20"/>
      <c r="J47" s="21"/>
    </row>
    <row r="48" spans="5:10" ht="12" customHeight="1">
      <c r="E48" s="19"/>
      <c r="F48" s="19"/>
      <c r="G48" s="19"/>
      <c r="H48" s="20"/>
      <c r="I48" s="20"/>
      <c r="J48" s="21"/>
    </row>
    <row r="49" spans="5:10" ht="12" customHeight="1">
      <c r="E49" s="19"/>
      <c r="F49" s="19"/>
      <c r="G49" s="19"/>
      <c r="H49" s="20"/>
      <c r="I49" s="20"/>
      <c r="J49" s="21"/>
    </row>
    <row r="50" spans="5:10" ht="12" customHeight="1">
      <c r="E50" s="19"/>
      <c r="F50" s="19"/>
      <c r="G50" s="19"/>
      <c r="H50" s="20"/>
      <c r="I50" s="20"/>
      <c r="J50" s="21"/>
    </row>
    <row r="51" spans="5:10" ht="12" customHeight="1">
      <c r="E51" s="19"/>
      <c r="F51" s="19"/>
      <c r="G51" s="19"/>
      <c r="H51" s="20"/>
      <c r="I51" s="20"/>
      <c r="J51" s="21"/>
    </row>
    <row r="52" spans="5:10" ht="12" customHeight="1">
      <c r="E52" s="19"/>
      <c r="F52" s="19"/>
      <c r="G52" s="19"/>
      <c r="H52" s="20"/>
      <c r="I52" s="20"/>
      <c r="J52" s="21"/>
    </row>
    <row r="53" spans="5:10" ht="12" customHeight="1">
      <c r="E53" s="19"/>
      <c r="F53" s="19"/>
      <c r="G53" s="19"/>
      <c r="H53" s="20"/>
      <c r="I53" s="20"/>
      <c r="J53" s="21"/>
    </row>
    <row r="54" spans="5:10" ht="12" customHeight="1">
      <c r="E54" s="19"/>
      <c r="F54" s="19"/>
      <c r="G54" s="19"/>
      <c r="H54" s="20"/>
      <c r="I54" s="20"/>
      <c r="J54" s="21"/>
    </row>
    <row r="55" spans="5:10" ht="12" customHeight="1">
      <c r="E55" s="19"/>
      <c r="F55" s="19"/>
      <c r="G55" s="19"/>
      <c r="H55" s="20"/>
      <c r="I55" s="20"/>
      <c r="J55" s="21"/>
    </row>
    <row r="56" spans="5:10" ht="12" customHeight="1">
      <c r="E56" s="19"/>
      <c r="F56" s="19"/>
      <c r="G56" s="19"/>
      <c r="H56" s="20"/>
      <c r="I56" s="20"/>
      <c r="J56" s="21"/>
    </row>
    <row r="57" spans="5:10" ht="12" customHeight="1">
      <c r="E57" s="19"/>
      <c r="F57" s="19"/>
      <c r="G57" s="19"/>
      <c r="H57" s="20"/>
      <c r="I57" s="20"/>
      <c r="J57" s="21"/>
    </row>
    <row r="58" spans="5:10" ht="12" customHeight="1">
      <c r="E58" s="19"/>
      <c r="F58" s="19"/>
      <c r="G58" s="19"/>
      <c r="H58" s="20"/>
      <c r="I58" s="20"/>
      <c r="J58" s="21"/>
    </row>
    <row r="59" spans="5:10" ht="12" customHeight="1">
      <c r="E59" s="19"/>
      <c r="F59" s="19"/>
      <c r="G59" s="19"/>
      <c r="H59" s="20"/>
      <c r="I59" s="20"/>
      <c r="J59" s="21"/>
    </row>
    <row r="60" spans="5:10" ht="12" customHeight="1">
      <c r="E60" s="19"/>
      <c r="F60" s="19"/>
      <c r="G60" s="19"/>
      <c r="H60" s="20"/>
      <c r="I60" s="20"/>
      <c r="J60" s="21"/>
    </row>
    <row r="61" spans="5:10" ht="12" customHeight="1">
      <c r="E61" s="19"/>
      <c r="F61" s="19"/>
      <c r="G61" s="19"/>
      <c r="H61" s="20"/>
      <c r="I61" s="20"/>
      <c r="J61" s="21"/>
    </row>
    <row r="62" spans="5:10" ht="12" customHeight="1">
      <c r="E62" s="19"/>
      <c r="F62" s="19"/>
      <c r="G62" s="19"/>
      <c r="H62" s="20"/>
      <c r="I62" s="20"/>
      <c r="J62" s="21"/>
    </row>
    <row r="63" spans="5:10" ht="12" customHeight="1">
      <c r="E63" s="19"/>
      <c r="F63" s="19"/>
      <c r="G63" s="19"/>
      <c r="H63" s="20"/>
      <c r="I63" s="20"/>
      <c r="J63" s="21"/>
    </row>
    <row r="64" spans="5:10" ht="12" customHeight="1">
      <c r="E64" s="19"/>
      <c r="F64" s="19"/>
      <c r="G64" s="19"/>
      <c r="H64" s="20"/>
      <c r="I64" s="20"/>
      <c r="J64" s="21"/>
    </row>
    <row r="65" spans="5:10" ht="12" customHeight="1">
      <c r="E65" s="19"/>
      <c r="F65" s="19"/>
      <c r="G65" s="19"/>
      <c r="H65" s="20"/>
      <c r="I65" s="20"/>
      <c r="J65" s="21"/>
    </row>
    <row r="66" spans="5:10" ht="12" customHeight="1">
      <c r="E66" s="19"/>
      <c r="F66" s="19"/>
      <c r="G66" s="19"/>
      <c r="H66" s="20"/>
      <c r="I66" s="20"/>
      <c r="J66" s="21"/>
    </row>
    <row r="67" spans="5:10" ht="12" customHeight="1">
      <c r="E67" s="19"/>
      <c r="F67" s="19"/>
      <c r="G67" s="19"/>
      <c r="H67" s="20"/>
      <c r="I67" s="20"/>
      <c r="J67" s="21"/>
    </row>
    <row r="68" spans="5:10" ht="12" customHeight="1">
      <c r="E68" s="19"/>
      <c r="F68" s="19"/>
      <c r="G68" s="19"/>
      <c r="H68" s="20"/>
      <c r="I68" s="20"/>
      <c r="J68" s="21"/>
    </row>
    <row r="69" spans="5:10" ht="12" customHeight="1">
      <c r="E69" s="19"/>
      <c r="F69" s="19"/>
      <c r="G69" s="19"/>
      <c r="H69" s="20"/>
      <c r="I69" s="20"/>
      <c r="J69" s="21"/>
    </row>
    <row r="70" spans="5:10" ht="12" customHeight="1">
      <c r="E70" s="19"/>
      <c r="F70" s="19"/>
      <c r="G70" s="19"/>
      <c r="H70" s="20"/>
      <c r="I70" s="20"/>
      <c r="J70" s="21"/>
    </row>
    <row r="71" spans="5:10" ht="12" customHeight="1">
      <c r="E71" s="19"/>
      <c r="F71" s="19"/>
      <c r="G71" s="19"/>
      <c r="H71" s="20"/>
      <c r="I71" s="20"/>
      <c r="J71" s="21"/>
    </row>
    <row r="72" spans="5:10" ht="12" customHeight="1">
      <c r="E72" s="19"/>
      <c r="F72" s="19"/>
      <c r="G72" s="19"/>
      <c r="H72" s="20"/>
      <c r="I72" s="20"/>
      <c r="J72" s="21"/>
    </row>
    <row r="73" spans="5:10" ht="12" customHeight="1">
      <c r="E73" s="19"/>
      <c r="F73" s="19"/>
      <c r="G73" s="19"/>
      <c r="H73" s="20"/>
      <c r="I73" s="20"/>
      <c r="J73" s="21"/>
    </row>
    <row r="74" spans="5:10" ht="12" customHeight="1">
      <c r="E74" s="19"/>
      <c r="F74" s="19"/>
      <c r="G74" s="19"/>
      <c r="H74" s="20"/>
      <c r="I74" s="20"/>
      <c r="J74" s="21"/>
    </row>
    <row r="75" spans="5:10" ht="12" customHeight="1">
      <c r="E75" s="19"/>
      <c r="F75" s="19"/>
      <c r="G75" s="19"/>
      <c r="H75" s="20"/>
      <c r="I75" s="20"/>
      <c r="J75" s="21"/>
    </row>
    <row r="76" spans="5:10" ht="12" customHeight="1">
      <c r="E76" s="19"/>
      <c r="F76" s="19"/>
      <c r="G76" s="19"/>
      <c r="H76" s="20"/>
      <c r="I76" s="20"/>
      <c r="J76" s="21"/>
    </row>
    <row r="77" spans="5:10" ht="12" customHeight="1">
      <c r="E77" s="19"/>
      <c r="F77" s="19"/>
      <c r="G77" s="19"/>
      <c r="H77" s="20"/>
      <c r="I77" s="20"/>
      <c r="J77" s="21"/>
    </row>
    <row r="78" spans="5:10" ht="12" customHeight="1">
      <c r="E78" s="19"/>
      <c r="F78" s="19"/>
      <c r="G78" s="19"/>
      <c r="H78" s="20"/>
      <c r="I78" s="20"/>
      <c r="J78" s="21"/>
    </row>
    <row r="79" spans="5:10" ht="12" customHeight="1">
      <c r="E79" s="19"/>
      <c r="F79" s="19"/>
      <c r="G79" s="19"/>
      <c r="H79" s="20"/>
      <c r="I79" s="20"/>
      <c r="J79" s="21"/>
    </row>
    <row r="80" spans="5:10" ht="12" customHeight="1">
      <c r="E80" s="19"/>
      <c r="F80" s="19"/>
      <c r="G80" s="19"/>
      <c r="H80" s="20"/>
      <c r="I80" s="20"/>
      <c r="J80" s="21"/>
    </row>
    <row r="81" spans="5:10" ht="12" customHeight="1">
      <c r="E81" s="19"/>
      <c r="F81" s="19"/>
      <c r="G81" s="19"/>
      <c r="H81" s="20"/>
      <c r="I81" s="20"/>
      <c r="J81" s="21"/>
    </row>
    <row r="82" spans="5:10" ht="12" customHeight="1">
      <c r="E82" s="19"/>
      <c r="F82" s="19"/>
      <c r="G82" s="19"/>
      <c r="H82" s="20"/>
      <c r="I82" s="20"/>
      <c r="J82" s="21"/>
    </row>
    <row r="83" spans="5:10" ht="12" customHeight="1">
      <c r="E83" s="19"/>
      <c r="F83" s="19"/>
      <c r="G83" s="19"/>
      <c r="H83" s="20"/>
      <c r="I83" s="20"/>
      <c r="J83" s="21"/>
    </row>
    <row r="84" spans="5:10" ht="12" customHeight="1">
      <c r="E84" s="19"/>
      <c r="F84" s="19"/>
      <c r="G84" s="19"/>
      <c r="H84" s="20"/>
      <c r="I84" s="20"/>
      <c r="J84" s="21"/>
    </row>
    <row r="85" spans="5:10" ht="12" customHeight="1">
      <c r="E85" s="19"/>
      <c r="F85" s="19"/>
      <c r="G85" s="19"/>
      <c r="H85" s="20"/>
      <c r="I85" s="20"/>
      <c r="J85" s="21"/>
    </row>
    <row r="86" spans="5:10" ht="12" customHeight="1">
      <c r="E86" s="19"/>
      <c r="F86" s="19"/>
      <c r="G86" s="19"/>
      <c r="H86" s="20"/>
      <c r="I86" s="20"/>
      <c r="J86" s="21"/>
    </row>
    <row r="87" spans="5:10" ht="12" customHeight="1">
      <c r="E87" s="19"/>
      <c r="F87" s="19"/>
      <c r="G87" s="19"/>
      <c r="H87" s="20"/>
      <c r="I87" s="20"/>
      <c r="J87" s="21"/>
    </row>
    <row r="88" spans="5:10" ht="12" customHeight="1">
      <c r="E88" s="19"/>
      <c r="F88" s="19"/>
      <c r="G88" s="19"/>
      <c r="H88" s="20"/>
      <c r="I88" s="20"/>
      <c r="J88" s="21"/>
    </row>
    <row r="89" spans="5:10" ht="12" customHeight="1">
      <c r="E89" s="19"/>
      <c r="F89" s="19"/>
      <c r="G89" s="19"/>
      <c r="H89" s="20"/>
      <c r="I89" s="20"/>
      <c r="J89" s="21"/>
    </row>
    <row r="90" spans="5:10" ht="12" customHeight="1">
      <c r="E90" s="19"/>
      <c r="F90" s="19"/>
      <c r="G90" s="19"/>
      <c r="H90" s="20"/>
      <c r="I90" s="20"/>
      <c r="J90" s="21"/>
    </row>
    <row r="91" spans="5:10" ht="12" customHeight="1">
      <c r="E91" s="19"/>
      <c r="F91" s="19"/>
      <c r="G91" s="19"/>
      <c r="H91" s="20"/>
      <c r="I91" s="20"/>
      <c r="J91" s="21"/>
    </row>
    <row r="92" spans="5:10" ht="12" customHeight="1">
      <c r="E92" s="19"/>
      <c r="F92" s="19"/>
      <c r="G92" s="19"/>
      <c r="H92" s="20"/>
      <c r="I92" s="20"/>
      <c r="J92" s="21"/>
    </row>
    <row r="93" spans="5:10" ht="12" customHeight="1">
      <c r="E93" s="19"/>
      <c r="F93" s="19"/>
      <c r="G93" s="19"/>
      <c r="H93" s="20"/>
      <c r="I93" s="20"/>
      <c r="J93" s="21"/>
    </row>
    <row r="94" spans="5:10" ht="12" customHeight="1">
      <c r="E94" s="19"/>
      <c r="F94" s="19"/>
      <c r="G94" s="19"/>
      <c r="H94" s="20"/>
      <c r="I94" s="20"/>
      <c r="J94" s="21"/>
    </row>
    <row r="95" spans="5:10" ht="12" customHeight="1">
      <c r="E95" s="19"/>
      <c r="F95" s="19"/>
      <c r="G95" s="19"/>
      <c r="H95" s="20"/>
      <c r="I95" s="20"/>
      <c r="J95" s="21"/>
    </row>
    <row r="96" spans="5:10" ht="12" customHeight="1">
      <c r="E96" s="19"/>
      <c r="F96" s="19"/>
      <c r="G96" s="19"/>
      <c r="H96" s="20"/>
      <c r="I96" s="20"/>
      <c r="J96" s="21"/>
    </row>
    <row r="97" spans="5:10" ht="12" customHeight="1">
      <c r="E97" s="19"/>
      <c r="F97" s="19"/>
      <c r="G97" s="19"/>
      <c r="H97" s="20"/>
      <c r="I97" s="20"/>
      <c r="J97" s="21"/>
    </row>
    <row r="98" spans="5:10" ht="12" customHeight="1">
      <c r="E98" s="19"/>
      <c r="F98" s="19"/>
      <c r="G98" s="19"/>
      <c r="H98" s="20"/>
      <c r="I98" s="20"/>
      <c r="J98" s="21"/>
    </row>
    <row r="99" spans="5:10" ht="12" customHeight="1">
      <c r="E99" s="19"/>
      <c r="F99" s="19"/>
      <c r="G99" s="19"/>
      <c r="H99" s="20"/>
      <c r="I99" s="20"/>
      <c r="J99" s="21"/>
    </row>
    <row r="100" spans="5:10" ht="12" customHeight="1">
      <c r="E100" s="19"/>
      <c r="F100" s="19"/>
      <c r="G100" s="19"/>
      <c r="H100" s="20"/>
      <c r="I100" s="20"/>
      <c r="J100" s="21"/>
    </row>
    <row r="101" spans="5:10" ht="12" customHeight="1">
      <c r="E101" s="19"/>
      <c r="F101" s="19"/>
      <c r="G101" s="19"/>
      <c r="H101" s="20"/>
      <c r="I101" s="20"/>
      <c r="J101" s="21"/>
    </row>
    <row r="102" spans="5:10" ht="12" customHeight="1">
      <c r="E102" s="19"/>
      <c r="F102" s="19"/>
      <c r="G102" s="19"/>
      <c r="H102" s="20"/>
      <c r="I102" s="20"/>
      <c r="J102" s="21"/>
    </row>
    <row r="103" spans="5:10" ht="12" customHeight="1">
      <c r="E103" s="19"/>
      <c r="F103" s="19"/>
      <c r="G103" s="19"/>
      <c r="H103" s="20"/>
      <c r="I103" s="20"/>
      <c r="J103" s="21"/>
    </row>
    <row r="104" spans="5:10" ht="12" customHeight="1">
      <c r="E104" s="19"/>
      <c r="F104" s="19"/>
      <c r="G104" s="19"/>
      <c r="H104" s="20"/>
      <c r="I104" s="20"/>
      <c r="J104" s="21"/>
    </row>
    <row r="105" spans="5:10" ht="12" customHeight="1">
      <c r="E105" s="19"/>
      <c r="F105" s="19"/>
      <c r="G105" s="19"/>
      <c r="H105" s="20"/>
      <c r="I105" s="20"/>
      <c r="J105" s="21"/>
    </row>
    <row r="106" spans="5:10" ht="12" customHeight="1">
      <c r="E106" s="19"/>
      <c r="F106" s="19"/>
      <c r="G106" s="19"/>
      <c r="H106" s="20"/>
      <c r="I106" s="20"/>
      <c r="J106" s="21"/>
    </row>
    <row r="107" spans="5:10" ht="12" customHeight="1">
      <c r="E107" s="19"/>
      <c r="F107" s="19"/>
      <c r="G107" s="19"/>
      <c r="H107" s="20"/>
      <c r="I107" s="20"/>
      <c r="J107" s="21"/>
    </row>
    <row r="108" spans="5:10" ht="12" customHeight="1">
      <c r="E108" s="19"/>
      <c r="F108" s="19"/>
      <c r="G108" s="19"/>
      <c r="H108" s="20"/>
      <c r="I108" s="20"/>
      <c r="J108" s="21"/>
    </row>
    <row r="109" spans="5:10" ht="12" customHeight="1">
      <c r="E109" s="19"/>
      <c r="F109" s="19"/>
      <c r="G109" s="19"/>
      <c r="H109" s="20"/>
      <c r="I109" s="20"/>
      <c r="J109" s="21"/>
    </row>
    <row r="110" spans="5:10" ht="12" customHeight="1">
      <c r="E110" s="19"/>
      <c r="F110" s="19"/>
      <c r="G110" s="19"/>
      <c r="H110" s="20"/>
      <c r="I110" s="20"/>
      <c r="J110" s="21"/>
    </row>
    <row r="111" spans="5:10" ht="12" customHeight="1">
      <c r="E111" s="19"/>
      <c r="F111" s="19"/>
      <c r="G111" s="19"/>
      <c r="H111" s="20"/>
      <c r="I111" s="20"/>
      <c r="J111" s="21"/>
    </row>
    <row r="112" spans="5:10" ht="12" customHeight="1">
      <c r="E112" s="19"/>
      <c r="F112" s="19"/>
      <c r="G112" s="19"/>
      <c r="H112" s="20"/>
      <c r="I112" s="20"/>
      <c r="J112" s="21"/>
    </row>
    <row r="113" spans="5:10" ht="12" customHeight="1">
      <c r="E113" s="19"/>
      <c r="F113" s="19"/>
      <c r="G113" s="19"/>
      <c r="H113" s="20"/>
      <c r="I113" s="20"/>
      <c r="J113" s="21"/>
    </row>
    <row r="114" spans="5:10" ht="12" customHeight="1">
      <c r="E114" s="19"/>
      <c r="F114" s="19"/>
      <c r="G114" s="19"/>
      <c r="H114" s="20"/>
      <c r="I114" s="20"/>
      <c r="J114" s="21"/>
    </row>
    <row r="115" spans="5:10" ht="12" customHeight="1">
      <c r="E115" s="19"/>
      <c r="F115" s="19"/>
      <c r="G115" s="19"/>
      <c r="H115" s="20"/>
      <c r="I115" s="20"/>
      <c r="J115" s="21"/>
    </row>
  </sheetData>
  <mergeCells count="3">
    <mergeCell ref="A6:I6"/>
    <mergeCell ref="A8:I8"/>
    <mergeCell ref="A10:I10"/>
  </mergeCells>
  <phoneticPr fontId="2" type="noConversion"/>
  <pageMargins left="0.74803149606299213" right="0.74803149606299213" top="0.95" bottom="0.78740157480314965" header="0.51181102362204722" footer="0.51181102362204722"/>
  <pageSetup paperSize="9" scale="99" fitToHeight="3" orientation="landscape" r:id="rId1"/>
  <headerFooter alignWithMargins="0"/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M119"/>
  <sheetViews>
    <sheetView view="pageBreakPreview" zoomScaleNormal="115" workbookViewId="0">
      <selection activeCell="A2" sqref="A2"/>
    </sheetView>
  </sheetViews>
  <sheetFormatPr defaultRowHeight="12" customHeight="1"/>
  <cols>
    <col min="1" max="1" width="6.109375" style="18" customWidth="1"/>
    <col min="2" max="2" width="3.88671875" style="18" customWidth="1"/>
    <col min="3" max="3" width="5.5546875" style="18" customWidth="1"/>
    <col min="4" max="4" width="44.44140625" style="14" customWidth="1"/>
    <col min="5" max="7" width="7.77734375" style="14" customWidth="1"/>
    <col min="8" max="9" width="7.77734375" style="15" customWidth="1"/>
    <col min="10" max="10" width="7.77734375" style="22" customWidth="1"/>
    <col min="11" max="11" width="5" style="10" customWidth="1"/>
    <col min="12" max="16384" width="8.88671875" style="10"/>
  </cols>
  <sheetData>
    <row r="1" spans="1:13" s="7" customFormat="1" ht="30" customHeight="1" thickBot="1">
      <c r="A1" s="99" t="s">
        <v>577</v>
      </c>
      <c r="B1" s="1"/>
      <c r="C1" s="1"/>
      <c r="D1" s="24"/>
      <c r="E1" s="1"/>
      <c r="F1" s="1"/>
      <c r="G1" s="1"/>
      <c r="H1" s="2"/>
      <c r="I1" s="2"/>
      <c r="J1" s="2"/>
      <c r="K1" s="5"/>
      <c r="L1" s="6"/>
      <c r="M1" s="6"/>
    </row>
    <row r="2" spans="1:13" s="47" customFormat="1" ht="39.950000000000003" customHeight="1">
      <c r="A2" s="143" t="s">
        <v>505</v>
      </c>
      <c r="B2" s="105" t="s">
        <v>471</v>
      </c>
      <c r="C2" s="105" t="s">
        <v>506</v>
      </c>
      <c r="D2" s="105" t="s">
        <v>507</v>
      </c>
      <c r="E2" s="104" t="s">
        <v>508</v>
      </c>
      <c r="F2" s="105" t="s">
        <v>509</v>
      </c>
      <c r="G2" s="106" t="s">
        <v>510</v>
      </c>
      <c r="H2" s="106" t="s">
        <v>511</v>
      </c>
      <c r="I2" s="106" t="s">
        <v>512</v>
      </c>
      <c r="J2" s="107" t="s">
        <v>513</v>
      </c>
      <c r="K2" s="144" t="s">
        <v>474</v>
      </c>
    </row>
    <row r="3" spans="1:13" s="83" customFormat="1" ht="30" customHeight="1">
      <c r="A3" s="179" t="s">
        <v>514</v>
      </c>
      <c r="B3" s="75">
        <v>1</v>
      </c>
      <c r="C3" s="75">
        <v>453</v>
      </c>
      <c r="D3" s="121" t="s">
        <v>542</v>
      </c>
      <c r="E3" s="76">
        <v>1</v>
      </c>
      <c r="F3" s="77">
        <v>488</v>
      </c>
      <c r="G3" s="78">
        <v>3</v>
      </c>
      <c r="H3" s="79">
        <f>IF(F3&gt;=2000,1,IF(F3&gt;=1800,0.9,IF(F3&gt;=1600,0.8,IF(F3&gt;=1400,0.7,IF(F3&gt;=1200,0.6,0)))))</f>
        <v>0</v>
      </c>
      <c r="I3" s="80">
        <f>IF(G3&gt;=5,1,IF(G3&gt;=4,0.9,IF(G3&gt;=3,0.8,IF(G3&gt;=2,0.7,IF(G3&gt;=1,0.6,0)))))</f>
        <v>0.8</v>
      </c>
      <c r="J3" s="81">
        <f>배점기준!$E$101*MAX(H3,I3)*E3</f>
        <v>0.8</v>
      </c>
      <c r="K3" s="82"/>
    </row>
    <row r="4" spans="1:13" s="83" customFormat="1" ht="30" customHeight="1">
      <c r="A4" s="179" t="s">
        <v>218</v>
      </c>
      <c r="B4" s="75">
        <v>2</v>
      </c>
      <c r="C4" s="75">
        <v>461</v>
      </c>
      <c r="D4" s="121" t="s">
        <v>543</v>
      </c>
      <c r="E4" s="76">
        <v>1</v>
      </c>
      <c r="F4" s="77">
        <v>273</v>
      </c>
      <c r="G4" s="78">
        <v>2</v>
      </c>
      <c r="H4" s="79">
        <f t="shared" ref="H4:H9" si="0">IF(F4&gt;=2000,1,IF(F4&gt;=1800,0.9,IF(F4&gt;=1600,0.8,IF(F4&gt;=1400,0.7,IF(F4&gt;=1200,0.6,0)))))</f>
        <v>0</v>
      </c>
      <c r="I4" s="80">
        <f t="shared" ref="I4:I9" si="1">IF(G4&gt;=5,1,IF(G4&gt;=4,0.9,IF(G4&gt;=3,0.8,IF(G4&gt;=2,0.7,IF(G4&gt;=1,0.6,0)))))</f>
        <v>0.7</v>
      </c>
      <c r="J4" s="81">
        <f>배점기준!$E$101*MAX(H4,I4)*E4</f>
        <v>0.7</v>
      </c>
      <c r="K4" s="82"/>
    </row>
    <row r="5" spans="1:13" s="57" customFormat="1" ht="30" customHeight="1">
      <c r="A5" s="179" t="s">
        <v>218</v>
      </c>
      <c r="B5" s="75">
        <v>3</v>
      </c>
      <c r="C5" s="75">
        <v>517</v>
      </c>
      <c r="D5" s="146" t="s">
        <v>363</v>
      </c>
      <c r="E5" s="76">
        <v>1</v>
      </c>
      <c r="F5" s="77">
        <v>2030</v>
      </c>
      <c r="G5" s="78">
        <v>5</v>
      </c>
      <c r="H5" s="79">
        <f t="shared" si="0"/>
        <v>1</v>
      </c>
      <c r="I5" s="80">
        <f t="shared" si="1"/>
        <v>1</v>
      </c>
      <c r="J5" s="81">
        <f>배점기준!$E$101*MAX(H5,I5)*E5</f>
        <v>1</v>
      </c>
      <c r="K5" s="82"/>
    </row>
    <row r="6" spans="1:13" s="57" customFormat="1" ht="30" customHeight="1">
      <c r="A6" s="179" t="s">
        <v>218</v>
      </c>
      <c r="B6" s="75">
        <v>4</v>
      </c>
      <c r="C6" s="75">
        <v>521</v>
      </c>
      <c r="D6" s="121" t="s">
        <v>544</v>
      </c>
      <c r="E6" s="76">
        <v>1</v>
      </c>
      <c r="F6" s="77">
        <v>24</v>
      </c>
      <c r="G6" s="78">
        <v>1</v>
      </c>
      <c r="H6" s="79">
        <f t="shared" si="0"/>
        <v>0</v>
      </c>
      <c r="I6" s="80">
        <f t="shared" si="1"/>
        <v>0.6</v>
      </c>
      <c r="J6" s="81">
        <f>배점기준!$E$101*MAX(H6,I6)*E6</f>
        <v>0.6</v>
      </c>
      <c r="K6" s="82"/>
    </row>
    <row r="7" spans="1:13" s="57" customFormat="1" ht="30" customHeight="1">
      <c r="A7" s="179" t="s">
        <v>218</v>
      </c>
      <c r="B7" s="75">
        <v>5</v>
      </c>
      <c r="C7" s="75">
        <v>553</v>
      </c>
      <c r="D7" s="121" t="s">
        <v>545</v>
      </c>
      <c r="E7" s="76">
        <v>1</v>
      </c>
      <c r="F7" s="77">
        <v>615</v>
      </c>
      <c r="G7" s="78">
        <v>2</v>
      </c>
      <c r="H7" s="79">
        <f t="shared" si="0"/>
        <v>0</v>
      </c>
      <c r="I7" s="80">
        <f t="shared" si="1"/>
        <v>0.7</v>
      </c>
      <c r="J7" s="81">
        <f>배점기준!$E$101*MAX(H7,I7)*E7</f>
        <v>0.7</v>
      </c>
      <c r="K7" s="82"/>
    </row>
    <row r="8" spans="1:13" s="83" customFormat="1" ht="30" customHeight="1">
      <c r="A8" s="179" t="s">
        <v>218</v>
      </c>
      <c r="B8" s="75">
        <v>6</v>
      </c>
      <c r="C8" s="75">
        <v>556</v>
      </c>
      <c r="D8" s="121" t="s">
        <v>361</v>
      </c>
      <c r="E8" s="76">
        <v>1</v>
      </c>
      <c r="F8" s="77">
        <v>593</v>
      </c>
      <c r="G8" s="78">
        <v>2</v>
      </c>
      <c r="H8" s="79">
        <f t="shared" si="0"/>
        <v>0</v>
      </c>
      <c r="I8" s="80">
        <f t="shared" si="1"/>
        <v>0.7</v>
      </c>
      <c r="J8" s="81">
        <f>배점기준!$E$101*MAX(H8,I8)*E8</f>
        <v>0.7</v>
      </c>
      <c r="K8" s="82"/>
    </row>
    <row r="9" spans="1:13" s="57" customFormat="1" ht="30" customHeight="1">
      <c r="A9" s="179" t="s">
        <v>218</v>
      </c>
      <c r="B9" s="75">
        <v>7</v>
      </c>
      <c r="C9" s="75">
        <v>582</v>
      </c>
      <c r="D9" s="121" t="s">
        <v>362</v>
      </c>
      <c r="E9" s="76">
        <v>1</v>
      </c>
      <c r="F9" s="77">
        <v>2851</v>
      </c>
      <c r="G9" s="78">
        <v>3</v>
      </c>
      <c r="H9" s="79">
        <f t="shared" si="0"/>
        <v>1</v>
      </c>
      <c r="I9" s="80">
        <f t="shared" si="1"/>
        <v>0.8</v>
      </c>
      <c r="J9" s="81">
        <f>배점기준!$E$101*MAX(H9,I9)*E9</f>
        <v>1</v>
      </c>
      <c r="K9" s="82"/>
    </row>
    <row r="10" spans="1:13" s="83" customFormat="1" ht="24.95" customHeight="1">
      <c r="A10" s="1152" t="s">
        <v>515</v>
      </c>
      <c r="B10" s="1153"/>
      <c r="C10" s="1153"/>
      <c r="D10" s="1153"/>
      <c r="E10" s="1153"/>
      <c r="F10" s="1153"/>
      <c r="G10" s="1153"/>
      <c r="H10" s="1153"/>
      <c r="I10" s="1154"/>
      <c r="J10" s="110">
        <f>SUM(J3:J9)</f>
        <v>5.5</v>
      </c>
      <c r="K10" s="82"/>
    </row>
    <row r="11" spans="1:13" s="83" customFormat="1" ht="24.95" customHeight="1">
      <c r="A11" s="179" t="s">
        <v>516</v>
      </c>
      <c r="B11" s="75"/>
      <c r="C11" s="75"/>
      <c r="D11" s="75"/>
      <c r="E11" s="76"/>
      <c r="F11" s="77"/>
      <c r="G11" s="77"/>
      <c r="H11" s="79"/>
      <c r="I11" s="80"/>
      <c r="J11" s="81"/>
      <c r="K11" s="82"/>
    </row>
    <row r="12" spans="1:13" s="83" customFormat="1" ht="24.95" customHeight="1">
      <c r="A12" s="1150" t="s">
        <v>517</v>
      </c>
      <c r="B12" s="1151"/>
      <c r="C12" s="1151"/>
      <c r="D12" s="1151"/>
      <c r="E12" s="1151"/>
      <c r="F12" s="1151"/>
      <c r="G12" s="1151"/>
      <c r="H12" s="1151"/>
      <c r="I12" s="1151"/>
      <c r="J12" s="110">
        <f>SUM(J11:J11)</f>
        <v>0</v>
      </c>
      <c r="K12" s="82"/>
    </row>
    <row r="13" spans="1:13" s="57" customFormat="1" ht="24.95" customHeight="1">
      <c r="A13" s="180" t="s">
        <v>186</v>
      </c>
      <c r="B13" s="75"/>
      <c r="C13" s="75"/>
      <c r="D13" s="75"/>
      <c r="E13" s="76"/>
      <c r="F13" s="77"/>
      <c r="G13" s="77"/>
      <c r="H13" s="79"/>
      <c r="I13" s="80"/>
      <c r="J13" s="81"/>
      <c r="K13" s="82"/>
    </row>
    <row r="14" spans="1:13" s="83" customFormat="1" ht="24.95" customHeight="1" thickBot="1">
      <c r="A14" s="1148" t="s">
        <v>221</v>
      </c>
      <c r="B14" s="1149"/>
      <c r="C14" s="1149"/>
      <c r="D14" s="1149"/>
      <c r="E14" s="1149"/>
      <c r="F14" s="1149"/>
      <c r="G14" s="1149"/>
      <c r="H14" s="1149"/>
      <c r="I14" s="1149"/>
      <c r="J14" s="111">
        <f>SUM(J13:J13)</f>
        <v>0</v>
      </c>
      <c r="K14" s="84"/>
    </row>
    <row r="15" spans="1:13" ht="15" customHeight="1">
      <c r="E15" s="19"/>
      <c r="F15" s="19"/>
      <c r="G15" s="19"/>
      <c r="H15" s="20"/>
      <c r="I15" s="20"/>
      <c r="J15" s="21"/>
    </row>
    <row r="16" spans="1:13" ht="15" customHeight="1">
      <c r="E16" s="19"/>
      <c r="F16" s="19"/>
      <c r="G16" s="19"/>
      <c r="H16" s="20"/>
      <c r="I16" s="20"/>
      <c r="J16" s="21"/>
    </row>
    <row r="17" spans="5:10" ht="15" customHeight="1">
      <c r="E17" s="19"/>
      <c r="F17" s="19"/>
      <c r="G17" s="19"/>
      <c r="H17" s="20"/>
      <c r="I17" s="20"/>
      <c r="J17" s="21"/>
    </row>
    <row r="18" spans="5:10" ht="15" customHeight="1">
      <c r="E18" s="19"/>
      <c r="F18" s="19"/>
      <c r="G18" s="19"/>
      <c r="H18" s="20"/>
      <c r="I18" s="20"/>
      <c r="J18" s="21"/>
    </row>
    <row r="19" spans="5:10" ht="15" customHeight="1">
      <c r="E19" s="19"/>
      <c r="F19" s="19"/>
      <c r="G19" s="19"/>
      <c r="H19" s="20"/>
      <c r="I19" s="20"/>
      <c r="J19" s="21"/>
    </row>
    <row r="20" spans="5:10" ht="12" customHeight="1">
      <c r="E20" s="19"/>
      <c r="F20" s="19"/>
      <c r="G20" s="19"/>
      <c r="H20" s="20"/>
      <c r="I20" s="20"/>
      <c r="J20" s="21"/>
    </row>
    <row r="21" spans="5:10" ht="12" customHeight="1">
      <c r="E21" s="19"/>
      <c r="F21" s="19"/>
      <c r="G21" s="19"/>
      <c r="H21" s="20"/>
      <c r="I21" s="20"/>
      <c r="J21" s="21"/>
    </row>
    <row r="22" spans="5:10" ht="12" customHeight="1">
      <c r="E22" s="19"/>
      <c r="F22" s="19"/>
      <c r="G22" s="19"/>
      <c r="H22" s="20"/>
      <c r="I22" s="20"/>
      <c r="J22" s="21"/>
    </row>
    <row r="23" spans="5:10" ht="12" customHeight="1">
      <c r="E23" s="19"/>
      <c r="F23" s="19"/>
      <c r="G23" s="19"/>
      <c r="H23" s="20"/>
      <c r="I23" s="20"/>
      <c r="J23" s="21"/>
    </row>
    <row r="24" spans="5:10" ht="12" customHeight="1">
      <c r="E24" s="19"/>
      <c r="F24" s="19"/>
      <c r="G24" s="19"/>
      <c r="H24" s="20"/>
      <c r="I24" s="20"/>
      <c r="J24" s="21"/>
    </row>
    <row r="25" spans="5:10" ht="12" customHeight="1">
      <c r="E25" s="19"/>
      <c r="F25" s="19"/>
      <c r="G25" s="19"/>
      <c r="H25" s="20"/>
      <c r="I25" s="20"/>
      <c r="J25" s="21"/>
    </row>
    <row r="26" spans="5:10" ht="12" customHeight="1">
      <c r="E26" s="19"/>
      <c r="F26" s="19"/>
      <c r="G26" s="19"/>
      <c r="H26" s="20"/>
      <c r="I26" s="20"/>
      <c r="J26" s="21"/>
    </row>
    <row r="27" spans="5:10" ht="12" customHeight="1">
      <c r="E27" s="19"/>
      <c r="F27" s="19"/>
      <c r="G27" s="19"/>
      <c r="H27" s="20"/>
      <c r="I27" s="20"/>
      <c r="J27" s="21"/>
    </row>
    <row r="28" spans="5:10" ht="12" customHeight="1">
      <c r="E28" s="19"/>
      <c r="F28" s="19"/>
      <c r="G28" s="19"/>
      <c r="H28" s="20"/>
      <c r="I28" s="20"/>
      <c r="J28" s="21"/>
    </row>
    <row r="29" spans="5:10" ht="12" customHeight="1">
      <c r="E29" s="19"/>
      <c r="F29" s="19"/>
      <c r="G29" s="19"/>
      <c r="H29" s="20"/>
      <c r="I29" s="20"/>
      <c r="J29" s="21"/>
    </row>
    <row r="30" spans="5:10" ht="12" customHeight="1">
      <c r="E30" s="19"/>
      <c r="F30" s="19"/>
      <c r="G30" s="19"/>
      <c r="H30" s="20"/>
      <c r="I30" s="20"/>
      <c r="J30" s="21"/>
    </row>
    <row r="31" spans="5:10" ht="12" customHeight="1">
      <c r="E31" s="19"/>
      <c r="F31" s="19"/>
      <c r="G31" s="19"/>
      <c r="H31" s="20"/>
      <c r="I31" s="20"/>
      <c r="J31" s="21"/>
    </row>
    <row r="32" spans="5:10" ht="12" customHeight="1">
      <c r="E32" s="19"/>
      <c r="F32" s="19"/>
      <c r="G32" s="19"/>
      <c r="H32" s="20"/>
      <c r="I32" s="20"/>
      <c r="J32" s="21"/>
    </row>
    <row r="33" spans="5:10" ht="12" customHeight="1">
      <c r="E33" s="19"/>
      <c r="F33" s="19"/>
      <c r="G33" s="19"/>
      <c r="H33" s="20"/>
      <c r="I33" s="20"/>
      <c r="J33" s="21"/>
    </row>
    <row r="34" spans="5:10" ht="12" customHeight="1">
      <c r="E34" s="19"/>
      <c r="F34" s="19"/>
      <c r="G34" s="19"/>
      <c r="H34" s="20"/>
      <c r="I34" s="20"/>
      <c r="J34" s="21"/>
    </row>
    <row r="35" spans="5:10" ht="12" customHeight="1">
      <c r="E35" s="19"/>
      <c r="F35" s="19"/>
      <c r="G35" s="19"/>
      <c r="H35" s="20"/>
      <c r="I35" s="20"/>
      <c r="J35" s="21"/>
    </row>
    <row r="36" spans="5:10" ht="12" customHeight="1">
      <c r="E36" s="19"/>
      <c r="F36" s="19"/>
      <c r="G36" s="19"/>
      <c r="H36" s="20"/>
      <c r="I36" s="20"/>
      <c r="J36" s="21"/>
    </row>
    <row r="37" spans="5:10" ht="12" customHeight="1">
      <c r="E37" s="19"/>
      <c r="F37" s="19"/>
      <c r="G37" s="19"/>
      <c r="H37" s="20"/>
      <c r="I37" s="20"/>
      <c r="J37" s="21"/>
    </row>
    <row r="38" spans="5:10" ht="12" customHeight="1">
      <c r="E38" s="19"/>
      <c r="F38" s="19"/>
      <c r="G38" s="19"/>
      <c r="H38" s="20"/>
      <c r="I38" s="20"/>
      <c r="J38" s="21"/>
    </row>
    <row r="39" spans="5:10" ht="12" customHeight="1">
      <c r="E39" s="19"/>
      <c r="F39" s="19"/>
      <c r="G39" s="19"/>
      <c r="H39" s="20"/>
      <c r="I39" s="20"/>
      <c r="J39" s="21"/>
    </row>
    <row r="40" spans="5:10" ht="12" customHeight="1">
      <c r="E40" s="19"/>
      <c r="F40" s="19"/>
      <c r="G40" s="19"/>
      <c r="H40" s="20"/>
      <c r="I40" s="20"/>
      <c r="J40" s="21"/>
    </row>
    <row r="41" spans="5:10" ht="12" customHeight="1">
      <c r="E41" s="19"/>
      <c r="F41" s="19"/>
      <c r="G41" s="19"/>
      <c r="H41" s="20"/>
      <c r="I41" s="20"/>
      <c r="J41" s="21"/>
    </row>
    <row r="42" spans="5:10" ht="12" customHeight="1">
      <c r="E42" s="19"/>
      <c r="F42" s="19"/>
      <c r="G42" s="19"/>
      <c r="H42" s="20"/>
      <c r="I42" s="20"/>
      <c r="J42" s="21"/>
    </row>
    <row r="43" spans="5:10" ht="12" customHeight="1">
      <c r="E43" s="19"/>
      <c r="F43" s="19"/>
      <c r="G43" s="19"/>
      <c r="H43" s="20"/>
      <c r="I43" s="20"/>
      <c r="J43" s="21"/>
    </row>
    <row r="44" spans="5:10" ht="12" customHeight="1">
      <c r="E44" s="19"/>
      <c r="F44" s="19"/>
      <c r="G44" s="19"/>
      <c r="H44" s="20"/>
      <c r="I44" s="20"/>
      <c r="J44" s="21"/>
    </row>
    <row r="45" spans="5:10" ht="12" customHeight="1">
      <c r="E45" s="19"/>
      <c r="F45" s="19"/>
      <c r="G45" s="19"/>
      <c r="H45" s="20"/>
      <c r="I45" s="20"/>
      <c r="J45" s="21"/>
    </row>
    <row r="46" spans="5:10" ht="12" customHeight="1">
      <c r="E46" s="19"/>
      <c r="F46" s="19"/>
      <c r="G46" s="19"/>
      <c r="H46" s="20"/>
      <c r="I46" s="20"/>
      <c r="J46" s="21"/>
    </row>
    <row r="47" spans="5:10" ht="12" customHeight="1">
      <c r="E47" s="19"/>
      <c r="F47" s="19"/>
      <c r="G47" s="19"/>
      <c r="H47" s="20"/>
      <c r="I47" s="20"/>
      <c r="J47" s="21"/>
    </row>
    <row r="48" spans="5:10" ht="12" customHeight="1">
      <c r="E48" s="19"/>
      <c r="F48" s="19"/>
      <c r="G48" s="19"/>
      <c r="H48" s="20"/>
      <c r="I48" s="20"/>
      <c r="J48" s="21"/>
    </row>
    <row r="49" spans="5:10" ht="12" customHeight="1">
      <c r="E49" s="19"/>
      <c r="F49" s="19"/>
      <c r="G49" s="19"/>
      <c r="H49" s="20"/>
      <c r="I49" s="20"/>
      <c r="J49" s="21"/>
    </row>
    <row r="50" spans="5:10" ht="12" customHeight="1">
      <c r="E50" s="19"/>
      <c r="F50" s="19"/>
      <c r="G50" s="19"/>
      <c r="H50" s="20"/>
      <c r="I50" s="20"/>
      <c r="J50" s="21"/>
    </row>
    <row r="51" spans="5:10" ht="12" customHeight="1">
      <c r="E51" s="19"/>
      <c r="F51" s="19"/>
      <c r="G51" s="19"/>
      <c r="H51" s="20"/>
      <c r="I51" s="20"/>
      <c r="J51" s="21"/>
    </row>
    <row r="52" spans="5:10" ht="12" customHeight="1">
      <c r="E52" s="19"/>
      <c r="F52" s="19"/>
      <c r="G52" s="19"/>
      <c r="H52" s="20"/>
      <c r="I52" s="20"/>
      <c r="J52" s="21"/>
    </row>
    <row r="53" spans="5:10" ht="12" customHeight="1">
      <c r="E53" s="19"/>
      <c r="F53" s="19"/>
      <c r="G53" s="19"/>
      <c r="H53" s="20"/>
      <c r="I53" s="20"/>
      <c r="J53" s="21"/>
    </row>
    <row r="54" spans="5:10" ht="12" customHeight="1">
      <c r="E54" s="19"/>
      <c r="F54" s="19"/>
      <c r="G54" s="19"/>
      <c r="H54" s="20"/>
      <c r="I54" s="20"/>
      <c r="J54" s="21"/>
    </row>
    <row r="55" spans="5:10" ht="12" customHeight="1">
      <c r="E55" s="19"/>
      <c r="F55" s="19"/>
      <c r="G55" s="19"/>
      <c r="H55" s="20"/>
      <c r="I55" s="20"/>
      <c r="J55" s="21"/>
    </row>
    <row r="56" spans="5:10" ht="12" customHeight="1">
      <c r="E56" s="19"/>
      <c r="F56" s="19"/>
      <c r="G56" s="19"/>
      <c r="H56" s="20"/>
      <c r="I56" s="20"/>
      <c r="J56" s="21"/>
    </row>
    <row r="57" spans="5:10" ht="12" customHeight="1">
      <c r="E57" s="19"/>
      <c r="F57" s="19"/>
      <c r="G57" s="19"/>
      <c r="H57" s="20"/>
      <c r="I57" s="20"/>
      <c r="J57" s="21"/>
    </row>
    <row r="58" spans="5:10" ht="12" customHeight="1">
      <c r="E58" s="19"/>
      <c r="F58" s="19"/>
      <c r="G58" s="19"/>
      <c r="H58" s="20"/>
      <c r="I58" s="20"/>
      <c r="J58" s="21"/>
    </row>
    <row r="59" spans="5:10" ht="12" customHeight="1">
      <c r="E59" s="19"/>
      <c r="F59" s="19"/>
      <c r="G59" s="19"/>
      <c r="H59" s="20"/>
      <c r="I59" s="20"/>
      <c r="J59" s="21"/>
    </row>
    <row r="60" spans="5:10" ht="12" customHeight="1">
      <c r="E60" s="19"/>
      <c r="F60" s="19"/>
      <c r="G60" s="19"/>
      <c r="H60" s="20"/>
      <c r="I60" s="20"/>
      <c r="J60" s="21"/>
    </row>
    <row r="61" spans="5:10" ht="12" customHeight="1">
      <c r="E61" s="19"/>
      <c r="F61" s="19"/>
      <c r="G61" s="19"/>
      <c r="H61" s="20"/>
      <c r="I61" s="20"/>
      <c r="J61" s="21"/>
    </row>
    <row r="62" spans="5:10" ht="12" customHeight="1">
      <c r="E62" s="19"/>
      <c r="F62" s="19"/>
      <c r="G62" s="19"/>
      <c r="H62" s="20"/>
      <c r="I62" s="20"/>
      <c r="J62" s="21"/>
    </row>
    <row r="63" spans="5:10" ht="12" customHeight="1">
      <c r="E63" s="19"/>
      <c r="F63" s="19"/>
      <c r="G63" s="19"/>
      <c r="H63" s="20"/>
      <c r="I63" s="20"/>
      <c r="J63" s="21"/>
    </row>
    <row r="64" spans="5:10" ht="12" customHeight="1">
      <c r="E64" s="19"/>
      <c r="F64" s="19"/>
      <c r="G64" s="19"/>
      <c r="H64" s="20"/>
      <c r="I64" s="20"/>
      <c r="J64" s="21"/>
    </row>
    <row r="65" spans="5:10" ht="12" customHeight="1">
      <c r="E65" s="19"/>
      <c r="F65" s="19"/>
      <c r="G65" s="19"/>
      <c r="H65" s="20"/>
      <c r="I65" s="20"/>
      <c r="J65" s="21"/>
    </row>
    <row r="66" spans="5:10" ht="12" customHeight="1">
      <c r="E66" s="19"/>
      <c r="F66" s="19"/>
      <c r="G66" s="19"/>
      <c r="H66" s="20"/>
      <c r="I66" s="20"/>
      <c r="J66" s="21"/>
    </row>
    <row r="67" spans="5:10" ht="12" customHeight="1">
      <c r="E67" s="19"/>
      <c r="F67" s="19"/>
      <c r="G67" s="19"/>
      <c r="H67" s="20"/>
      <c r="I67" s="20"/>
      <c r="J67" s="21"/>
    </row>
    <row r="68" spans="5:10" ht="12" customHeight="1">
      <c r="E68" s="19"/>
      <c r="F68" s="19"/>
      <c r="G68" s="19"/>
      <c r="H68" s="20"/>
      <c r="I68" s="20"/>
      <c r="J68" s="21"/>
    </row>
    <row r="69" spans="5:10" ht="12" customHeight="1">
      <c r="E69" s="19"/>
      <c r="F69" s="19"/>
      <c r="G69" s="19"/>
      <c r="H69" s="20"/>
      <c r="I69" s="20"/>
      <c r="J69" s="21"/>
    </row>
    <row r="70" spans="5:10" ht="12" customHeight="1">
      <c r="E70" s="19"/>
      <c r="F70" s="19"/>
      <c r="G70" s="19"/>
      <c r="H70" s="20"/>
      <c r="I70" s="20"/>
      <c r="J70" s="21"/>
    </row>
    <row r="71" spans="5:10" ht="12" customHeight="1">
      <c r="E71" s="19"/>
      <c r="F71" s="19"/>
      <c r="G71" s="19"/>
      <c r="H71" s="20"/>
      <c r="I71" s="20"/>
      <c r="J71" s="21"/>
    </row>
    <row r="72" spans="5:10" ht="12" customHeight="1">
      <c r="E72" s="19"/>
      <c r="F72" s="19"/>
      <c r="G72" s="19"/>
      <c r="H72" s="20"/>
      <c r="I72" s="20"/>
      <c r="J72" s="21"/>
    </row>
    <row r="73" spans="5:10" ht="12" customHeight="1">
      <c r="E73" s="19"/>
      <c r="F73" s="19"/>
      <c r="G73" s="19"/>
      <c r="H73" s="20"/>
      <c r="I73" s="20"/>
      <c r="J73" s="21"/>
    </row>
    <row r="74" spans="5:10" ht="12" customHeight="1">
      <c r="E74" s="19"/>
      <c r="F74" s="19"/>
      <c r="G74" s="19"/>
      <c r="H74" s="20"/>
      <c r="I74" s="20"/>
      <c r="J74" s="21"/>
    </row>
    <row r="75" spans="5:10" ht="12" customHeight="1">
      <c r="E75" s="19"/>
      <c r="F75" s="19"/>
      <c r="G75" s="19"/>
      <c r="H75" s="20"/>
      <c r="I75" s="20"/>
      <c r="J75" s="21"/>
    </row>
    <row r="76" spans="5:10" ht="12" customHeight="1">
      <c r="E76" s="19"/>
      <c r="F76" s="19"/>
      <c r="G76" s="19"/>
      <c r="H76" s="20"/>
      <c r="I76" s="20"/>
      <c r="J76" s="21"/>
    </row>
    <row r="77" spans="5:10" ht="12" customHeight="1">
      <c r="E77" s="19"/>
      <c r="F77" s="19"/>
      <c r="G77" s="19"/>
      <c r="H77" s="20"/>
      <c r="I77" s="20"/>
      <c r="J77" s="21"/>
    </row>
    <row r="78" spans="5:10" ht="12" customHeight="1">
      <c r="E78" s="19"/>
      <c r="F78" s="19"/>
      <c r="G78" s="19"/>
      <c r="H78" s="20"/>
      <c r="I78" s="20"/>
      <c r="J78" s="21"/>
    </row>
    <row r="79" spans="5:10" ht="12" customHeight="1">
      <c r="E79" s="19"/>
      <c r="F79" s="19"/>
      <c r="G79" s="19"/>
      <c r="H79" s="20"/>
      <c r="I79" s="20"/>
      <c r="J79" s="21"/>
    </row>
    <row r="80" spans="5:10" ht="12" customHeight="1">
      <c r="E80" s="19"/>
      <c r="F80" s="19"/>
      <c r="G80" s="19"/>
      <c r="H80" s="20"/>
      <c r="I80" s="20"/>
      <c r="J80" s="21"/>
    </row>
    <row r="81" spans="5:10" ht="12" customHeight="1">
      <c r="E81" s="19"/>
      <c r="F81" s="19"/>
      <c r="G81" s="19"/>
      <c r="H81" s="20"/>
      <c r="I81" s="20"/>
      <c r="J81" s="21"/>
    </row>
    <row r="82" spans="5:10" ht="12" customHeight="1">
      <c r="E82" s="19"/>
      <c r="F82" s="19"/>
      <c r="G82" s="19"/>
      <c r="H82" s="20"/>
      <c r="I82" s="20"/>
      <c r="J82" s="21"/>
    </row>
    <row r="83" spans="5:10" ht="12" customHeight="1">
      <c r="E83" s="19"/>
      <c r="F83" s="19"/>
      <c r="G83" s="19"/>
      <c r="H83" s="20"/>
      <c r="I83" s="20"/>
      <c r="J83" s="21"/>
    </row>
    <row r="84" spans="5:10" ht="12" customHeight="1">
      <c r="E84" s="19"/>
      <c r="F84" s="19"/>
      <c r="G84" s="19"/>
      <c r="H84" s="20"/>
      <c r="I84" s="20"/>
      <c r="J84" s="21"/>
    </row>
    <row r="85" spans="5:10" ht="12" customHeight="1">
      <c r="E85" s="19"/>
      <c r="F85" s="19"/>
      <c r="G85" s="19"/>
      <c r="H85" s="20"/>
      <c r="I85" s="20"/>
      <c r="J85" s="21"/>
    </row>
    <row r="86" spans="5:10" ht="12" customHeight="1">
      <c r="E86" s="19"/>
      <c r="F86" s="19"/>
      <c r="G86" s="19"/>
      <c r="H86" s="20"/>
      <c r="I86" s="20"/>
      <c r="J86" s="21"/>
    </row>
    <row r="87" spans="5:10" ht="12" customHeight="1">
      <c r="E87" s="19"/>
      <c r="F87" s="19"/>
      <c r="G87" s="19"/>
      <c r="H87" s="20"/>
      <c r="I87" s="20"/>
      <c r="J87" s="21"/>
    </row>
    <row r="88" spans="5:10" ht="12" customHeight="1">
      <c r="E88" s="19"/>
      <c r="F88" s="19"/>
      <c r="G88" s="19"/>
      <c r="H88" s="20"/>
      <c r="I88" s="20"/>
      <c r="J88" s="21"/>
    </row>
    <row r="89" spans="5:10" ht="12" customHeight="1">
      <c r="E89" s="19"/>
      <c r="F89" s="19"/>
      <c r="G89" s="19"/>
      <c r="H89" s="20"/>
      <c r="I89" s="20"/>
      <c r="J89" s="21"/>
    </row>
    <row r="90" spans="5:10" ht="12" customHeight="1">
      <c r="E90" s="19"/>
      <c r="F90" s="19"/>
      <c r="G90" s="19"/>
      <c r="H90" s="20"/>
      <c r="I90" s="20"/>
      <c r="J90" s="21"/>
    </row>
    <row r="91" spans="5:10" ht="12" customHeight="1">
      <c r="E91" s="19"/>
      <c r="F91" s="19"/>
      <c r="G91" s="19"/>
      <c r="H91" s="20"/>
      <c r="I91" s="20"/>
      <c r="J91" s="21"/>
    </row>
    <row r="92" spans="5:10" ht="12" customHeight="1">
      <c r="E92" s="19"/>
      <c r="F92" s="19"/>
      <c r="G92" s="19"/>
      <c r="H92" s="20"/>
      <c r="I92" s="20"/>
      <c r="J92" s="21"/>
    </row>
    <row r="93" spans="5:10" ht="12" customHeight="1">
      <c r="E93" s="19"/>
      <c r="F93" s="19"/>
      <c r="G93" s="19"/>
      <c r="H93" s="20"/>
      <c r="I93" s="20"/>
      <c r="J93" s="21"/>
    </row>
    <row r="94" spans="5:10" ht="12" customHeight="1">
      <c r="E94" s="19"/>
      <c r="F94" s="19"/>
      <c r="G94" s="19"/>
      <c r="H94" s="20"/>
      <c r="I94" s="20"/>
      <c r="J94" s="21"/>
    </row>
    <row r="95" spans="5:10" ht="12" customHeight="1">
      <c r="E95" s="19"/>
      <c r="F95" s="19"/>
      <c r="G95" s="19"/>
      <c r="H95" s="20"/>
      <c r="I95" s="20"/>
      <c r="J95" s="21"/>
    </row>
    <row r="96" spans="5:10" ht="12" customHeight="1">
      <c r="E96" s="19"/>
      <c r="F96" s="19"/>
      <c r="G96" s="19"/>
      <c r="H96" s="20"/>
      <c r="I96" s="20"/>
      <c r="J96" s="21"/>
    </row>
    <row r="97" spans="5:10" ht="12" customHeight="1">
      <c r="E97" s="19"/>
      <c r="F97" s="19"/>
      <c r="G97" s="19"/>
      <c r="H97" s="20"/>
      <c r="I97" s="20"/>
      <c r="J97" s="21"/>
    </row>
    <row r="98" spans="5:10" ht="12" customHeight="1">
      <c r="E98" s="19"/>
      <c r="F98" s="19"/>
      <c r="G98" s="19"/>
      <c r="H98" s="20"/>
      <c r="I98" s="20"/>
      <c r="J98" s="21"/>
    </row>
    <row r="99" spans="5:10" ht="12" customHeight="1">
      <c r="E99" s="19"/>
      <c r="F99" s="19"/>
      <c r="G99" s="19"/>
      <c r="H99" s="20"/>
      <c r="I99" s="20"/>
      <c r="J99" s="21"/>
    </row>
    <row r="100" spans="5:10" ht="12" customHeight="1">
      <c r="E100" s="19"/>
      <c r="F100" s="19"/>
      <c r="G100" s="19"/>
      <c r="H100" s="20"/>
      <c r="I100" s="20"/>
      <c r="J100" s="21"/>
    </row>
    <row r="101" spans="5:10" ht="12" customHeight="1">
      <c r="E101" s="19"/>
      <c r="F101" s="19"/>
      <c r="G101" s="19"/>
      <c r="H101" s="20"/>
      <c r="I101" s="20"/>
      <c r="J101" s="21"/>
    </row>
    <row r="102" spans="5:10" ht="12" customHeight="1">
      <c r="E102" s="19"/>
      <c r="F102" s="19"/>
      <c r="G102" s="19"/>
      <c r="H102" s="20"/>
      <c r="I102" s="20"/>
      <c r="J102" s="21"/>
    </row>
    <row r="103" spans="5:10" ht="12" customHeight="1">
      <c r="E103" s="19"/>
      <c r="F103" s="19"/>
      <c r="G103" s="19"/>
      <c r="H103" s="20"/>
      <c r="I103" s="20"/>
      <c r="J103" s="21"/>
    </row>
    <row r="104" spans="5:10" ht="12" customHeight="1">
      <c r="E104" s="19"/>
      <c r="F104" s="19"/>
      <c r="G104" s="19"/>
      <c r="H104" s="20"/>
      <c r="I104" s="20"/>
      <c r="J104" s="21"/>
    </row>
    <row r="105" spans="5:10" ht="12" customHeight="1">
      <c r="E105" s="19"/>
      <c r="F105" s="19"/>
      <c r="G105" s="19"/>
      <c r="H105" s="20"/>
      <c r="I105" s="20"/>
      <c r="J105" s="21"/>
    </row>
    <row r="106" spans="5:10" ht="12" customHeight="1">
      <c r="E106" s="19"/>
      <c r="F106" s="19"/>
      <c r="G106" s="19"/>
      <c r="H106" s="20"/>
      <c r="I106" s="20"/>
      <c r="J106" s="21"/>
    </row>
    <row r="107" spans="5:10" ht="12" customHeight="1">
      <c r="E107" s="19"/>
      <c r="F107" s="19"/>
      <c r="G107" s="19"/>
      <c r="H107" s="20"/>
      <c r="I107" s="20"/>
      <c r="J107" s="21"/>
    </row>
    <row r="108" spans="5:10" ht="12" customHeight="1">
      <c r="E108" s="19"/>
      <c r="F108" s="19"/>
      <c r="G108" s="19"/>
      <c r="H108" s="20"/>
      <c r="I108" s="20"/>
      <c r="J108" s="21"/>
    </row>
    <row r="109" spans="5:10" ht="12" customHeight="1">
      <c r="E109" s="19"/>
      <c r="F109" s="19"/>
      <c r="G109" s="19"/>
      <c r="H109" s="20"/>
      <c r="I109" s="20"/>
      <c r="J109" s="21"/>
    </row>
    <row r="110" spans="5:10" ht="12" customHeight="1">
      <c r="E110" s="19"/>
      <c r="F110" s="19"/>
      <c r="G110" s="19"/>
      <c r="H110" s="20"/>
      <c r="I110" s="20"/>
      <c r="J110" s="21"/>
    </row>
    <row r="111" spans="5:10" ht="12" customHeight="1">
      <c r="E111" s="19"/>
      <c r="F111" s="19"/>
      <c r="G111" s="19"/>
      <c r="H111" s="20"/>
      <c r="I111" s="20"/>
      <c r="J111" s="21"/>
    </row>
    <row r="112" spans="5:10" ht="12" customHeight="1">
      <c r="E112" s="19"/>
      <c r="F112" s="19"/>
      <c r="G112" s="19"/>
      <c r="H112" s="20"/>
      <c r="I112" s="20"/>
      <c r="J112" s="21"/>
    </row>
    <row r="113" spans="5:10" ht="12" customHeight="1">
      <c r="E113" s="19"/>
      <c r="F113" s="19"/>
      <c r="G113" s="19"/>
      <c r="H113" s="20"/>
      <c r="I113" s="20"/>
      <c r="J113" s="21"/>
    </row>
    <row r="114" spans="5:10" ht="12" customHeight="1">
      <c r="E114" s="19"/>
      <c r="F114" s="19"/>
      <c r="G114" s="19"/>
      <c r="H114" s="20"/>
      <c r="I114" s="20"/>
      <c r="J114" s="21"/>
    </row>
    <row r="115" spans="5:10" ht="12" customHeight="1">
      <c r="E115" s="19"/>
      <c r="F115" s="19"/>
      <c r="G115" s="19"/>
      <c r="H115" s="20"/>
      <c r="I115" s="20"/>
      <c r="J115" s="21"/>
    </row>
    <row r="116" spans="5:10" ht="12" customHeight="1">
      <c r="E116" s="19"/>
      <c r="F116" s="19"/>
      <c r="G116" s="19"/>
      <c r="H116" s="20"/>
      <c r="I116" s="20"/>
      <c r="J116" s="21"/>
    </row>
    <row r="117" spans="5:10" ht="12" customHeight="1">
      <c r="E117" s="19"/>
      <c r="F117" s="19"/>
      <c r="G117" s="19"/>
      <c r="H117" s="20"/>
      <c r="I117" s="20"/>
      <c r="J117" s="21"/>
    </row>
    <row r="118" spans="5:10" ht="12" customHeight="1">
      <c r="E118" s="19"/>
      <c r="F118" s="19"/>
      <c r="G118" s="19"/>
      <c r="H118" s="20"/>
      <c r="I118" s="20"/>
      <c r="J118" s="21"/>
    </row>
    <row r="119" spans="5:10" ht="12" customHeight="1">
      <c r="E119" s="19"/>
      <c r="F119" s="19"/>
      <c r="G119" s="19"/>
      <c r="H119" s="20"/>
      <c r="I119" s="20"/>
      <c r="J119" s="21"/>
    </row>
  </sheetData>
  <mergeCells count="3">
    <mergeCell ref="A10:I10"/>
    <mergeCell ref="A12:I12"/>
    <mergeCell ref="A14:I14"/>
  </mergeCells>
  <phoneticPr fontId="2" type="noConversion"/>
  <pageMargins left="0.74803149606299213" right="0.74803149606299213" top="0.95" bottom="0.78740157480314965" header="0.51181102362204722" footer="0.51181102362204722"/>
  <pageSetup paperSize="9" fitToHeight="3" orientation="landscape" r:id="rId1"/>
  <headerFooter alignWithMargins="0"/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1"/>
    <pageSetUpPr fitToPage="1"/>
  </sheetPr>
  <dimension ref="A1:M121"/>
  <sheetViews>
    <sheetView view="pageBreakPreview" zoomScaleNormal="115" workbookViewId="0">
      <selection activeCell="A2" sqref="A2"/>
    </sheetView>
  </sheetViews>
  <sheetFormatPr defaultRowHeight="12" customHeight="1"/>
  <cols>
    <col min="1" max="1" width="6.6640625" style="18" customWidth="1"/>
    <col min="2" max="2" width="3.88671875" style="18" customWidth="1"/>
    <col min="3" max="3" width="5.5546875" style="18" customWidth="1"/>
    <col min="4" max="4" width="44.44140625" style="14" customWidth="1"/>
    <col min="5" max="7" width="7.77734375" style="14" customWidth="1"/>
    <col min="8" max="9" width="7.77734375" style="15" customWidth="1"/>
    <col min="10" max="10" width="7.77734375" style="22" customWidth="1"/>
    <col min="11" max="11" width="5" style="10" customWidth="1"/>
    <col min="12" max="16384" width="8.88671875" style="10"/>
  </cols>
  <sheetData>
    <row r="1" spans="1:13" s="7" customFormat="1" ht="30" customHeight="1" thickBot="1">
      <c r="A1" s="99" t="s">
        <v>576</v>
      </c>
      <c r="B1" s="1"/>
      <c r="C1" s="1"/>
      <c r="D1" s="24"/>
      <c r="E1" s="1"/>
      <c r="F1" s="1"/>
      <c r="G1" s="1"/>
      <c r="H1" s="2"/>
      <c r="I1" s="2"/>
      <c r="J1" s="2"/>
      <c r="K1" s="5"/>
      <c r="L1" s="6"/>
      <c r="M1" s="6"/>
    </row>
    <row r="2" spans="1:13" s="47" customFormat="1" ht="39.950000000000003" customHeight="1">
      <c r="A2" s="109" t="s">
        <v>213</v>
      </c>
      <c r="B2" s="103" t="s">
        <v>175</v>
      </c>
      <c r="C2" s="103" t="s">
        <v>231</v>
      </c>
      <c r="D2" s="103" t="s">
        <v>214</v>
      </c>
      <c r="E2" s="104" t="s">
        <v>215</v>
      </c>
      <c r="F2" s="105" t="s">
        <v>216</v>
      </c>
      <c r="G2" s="106" t="s">
        <v>191</v>
      </c>
      <c r="H2" s="106" t="s">
        <v>189</v>
      </c>
      <c r="I2" s="106" t="s">
        <v>190</v>
      </c>
      <c r="J2" s="107" t="s">
        <v>217</v>
      </c>
      <c r="K2" s="108" t="s">
        <v>176</v>
      </c>
    </row>
    <row r="3" spans="1:13" s="83" customFormat="1" ht="30" customHeight="1">
      <c r="A3" s="179" t="s">
        <v>408</v>
      </c>
      <c r="B3" s="75">
        <v>1</v>
      </c>
      <c r="C3" s="75">
        <v>453</v>
      </c>
      <c r="D3" s="121" t="s">
        <v>456</v>
      </c>
      <c r="E3" s="76">
        <v>1</v>
      </c>
      <c r="F3" s="77">
        <v>350</v>
      </c>
      <c r="G3" s="78">
        <v>1</v>
      </c>
      <c r="H3" s="79">
        <f t="shared" ref="H3:H11" si="0">IF(F3&gt;=2000,1,IF(F3&gt;=1800,0.9,IF(F3&gt;=1600,0.8,IF(F3&gt;=1400,0.7,IF(F3&gt;=1200,0.6,0)))))</f>
        <v>0</v>
      </c>
      <c r="I3" s="80">
        <f t="shared" ref="I3:I11" si="1">IF(G3&gt;=5,1,IF(G3&gt;=4,0.9,IF(G3&gt;=3,0.8,IF(G3&gt;=2,0.7,IF(G3&gt;=1,0.6,0)))))</f>
        <v>0.6</v>
      </c>
      <c r="J3" s="81">
        <f>배점기준!$E$101*MAX(H3,I3)*E3</f>
        <v>0.6</v>
      </c>
      <c r="K3" s="82"/>
    </row>
    <row r="4" spans="1:13" s="83" customFormat="1" ht="30" customHeight="1">
      <c r="A4" s="179" t="s">
        <v>408</v>
      </c>
      <c r="B4" s="75">
        <v>2</v>
      </c>
      <c r="C4" s="75">
        <v>461</v>
      </c>
      <c r="D4" s="121" t="s">
        <v>457</v>
      </c>
      <c r="E4" s="76">
        <v>1</v>
      </c>
      <c r="F4" s="77">
        <v>330</v>
      </c>
      <c r="G4" s="78">
        <v>1</v>
      </c>
      <c r="H4" s="79">
        <f t="shared" si="0"/>
        <v>0</v>
      </c>
      <c r="I4" s="80">
        <f t="shared" si="1"/>
        <v>0.6</v>
      </c>
      <c r="J4" s="81">
        <f>배점기준!$E$101*MAX(H4,I4)*E4</f>
        <v>0.6</v>
      </c>
      <c r="K4" s="82"/>
    </row>
    <row r="5" spans="1:13" s="57" customFormat="1" ht="30" customHeight="1">
      <c r="A5" s="179" t="s">
        <v>408</v>
      </c>
      <c r="B5" s="75">
        <v>4</v>
      </c>
      <c r="C5" s="75">
        <v>513</v>
      </c>
      <c r="D5" s="121" t="s">
        <v>458</v>
      </c>
      <c r="E5" s="76">
        <v>1</v>
      </c>
      <c r="F5" s="77">
        <v>920</v>
      </c>
      <c r="G5" s="78">
        <v>1</v>
      </c>
      <c r="H5" s="79">
        <f t="shared" si="0"/>
        <v>0</v>
      </c>
      <c r="I5" s="80">
        <f t="shared" si="1"/>
        <v>0.6</v>
      </c>
      <c r="J5" s="81">
        <f>배점기준!$E$101*MAX(H5,I5)*E5</f>
        <v>0.6</v>
      </c>
      <c r="K5" s="82"/>
    </row>
    <row r="6" spans="1:13" s="83" customFormat="1" ht="30" customHeight="1">
      <c r="A6" s="179" t="s">
        <v>408</v>
      </c>
      <c r="B6" s="75">
        <v>5</v>
      </c>
      <c r="C6" s="75">
        <v>517</v>
      </c>
      <c r="D6" s="121" t="s">
        <v>459</v>
      </c>
      <c r="E6" s="76">
        <v>1</v>
      </c>
      <c r="F6" s="77">
        <v>2264</v>
      </c>
      <c r="G6" s="78">
        <v>3</v>
      </c>
      <c r="H6" s="79">
        <f>IF(F6&gt;=2000,1,IF(F6&gt;=1800,0.9,IF(F6&gt;=1600,0.8,IF(F6&gt;=1400,0.7,IF(F6&gt;=1200,0.6,0)))))</f>
        <v>1</v>
      </c>
      <c r="I6" s="80">
        <f>IF(G6&gt;=5,1,IF(G6&gt;=4,0.9,IF(G6&gt;=3,0.8,IF(G6&gt;=2,0.7,IF(G6&gt;=1,0.6,0)))))</f>
        <v>0.8</v>
      </c>
      <c r="J6" s="81">
        <f>배점기준!$E$101*MAX(H6,I6)*E6</f>
        <v>1</v>
      </c>
      <c r="K6" s="82"/>
    </row>
    <row r="7" spans="1:13" s="83" customFormat="1" ht="30" customHeight="1">
      <c r="A7" s="179" t="s">
        <v>408</v>
      </c>
      <c r="B7" s="75">
        <v>6</v>
      </c>
      <c r="C7" s="75">
        <v>518</v>
      </c>
      <c r="D7" s="121" t="s">
        <v>460</v>
      </c>
      <c r="E7" s="76">
        <v>1</v>
      </c>
      <c r="F7" s="77">
        <v>455</v>
      </c>
      <c r="G7" s="78">
        <v>1</v>
      </c>
      <c r="H7" s="79">
        <f t="shared" si="0"/>
        <v>0</v>
      </c>
      <c r="I7" s="80">
        <f t="shared" si="1"/>
        <v>0.6</v>
      </c>
      <c r="J7" s="81">
        <f>배점기준!$E$101*MAX(H7,I7)*E7</f>
        <v>0.6</v>
      </c>
      <c r="K7" s="82"/>
    </row>
    <row r="8" spans="1:13" s="57" customFormat="1" ht="30" customHeight="1">
      <c r="A8" s="179" t="s">
        <v>408</v>
      </c>
      <c r="B8" s="75">
        <v>7</v>
      </c>
      <c r="C8" s="75">
        <v>553</v>
      </c>
      <c r="D8" s="121" t="s">
        <v>461</v>
      </c>
      <c r="E8" s="76">
        <v>1</v>
      </c>
      <c r="F8" s="77">
        <v>22</v>
      </c>
      <c r="G8" s="78">
        <v>1</v>
      </c>
      <c r="H8" s="79">
        <f t="shared" si="0"/>
        <v>0</v>
      </c>
      <c r="I8" s="80">
        <f t="shared" si="1"/>
        <v>0.6</v>
      </c>
      <c r="J8" s="81">
        <f>배점기준!$E$101*MAX(H8,I8)*E8</f>
        <v>0.6</v>
      </c>
      <c r="K8" s="82"/>
    </row>
    <row r="9" spans="1:13" s="57" customFormat="1" ht="30" customHeight="1">
      <c r="A9" s="145" t="s">
        <v>408</v>
      </c>
      <c r="B9" s="133">
        <v>8</v>
      </c>
      <c r="C9" s="133">
        <v>561</v>
      </c>
      <c r="D9" s="120" t="s">
        <v>462</v>
      </c>
      <c r="E9" s="134">
        <v>1</v>
      </c>
      <c r="F9" s="135">
        <v>1396</v>
      </c>
      <c r="G9" s="136">
        <v>2</v>
      </c>
      <c r="H9" s="137">
        <f t="shared" si="0"/>
        <v>0.6</v>
      </c>
      <c r="I9" s="138">
        <f t="shared" si="1"/>
        <v>0.7</v>
      </c>
      <c r="J9" s="139">
        <f>배점기준!$E$101*MAX(H9,I9)*E9</f>
        <v>0.7</v>
      </c>
      <c r="K9" s="140"/>
    </row>
    <row r="10" spans="1:13" s="57" customFormat="1" ht="30" customHeight="1">
      <c r="A10" s="179" t="s">
        <v>408</v>
      </c>
      <c r="B10" s="75">
        <v>9</v>
      </c>
      <c r="C10" s="75">
        <v>582</v>
      </c>
      <c r="D10" s="121" t="s">
        <v>463</v>
      </c>
      <c r="E10" s="76">
        <v>1</v>
      </c>
      <c r="F10" s="77">
        <v>558</v>
      </c>
      <c r="G10" s="78">
        <v>1</v>
      </c>
      <c r="H10" s="79">
        <f>IF(F10&gt;=2000,1,IF(F10&gt;=1800,0.9,IF(F10&gt;=1600,0.8,IF(F10&gt;=1400,0.7,IF(F10&gt;=1200,0.6,0)))))</f>
        <v>0</v>
      </c>
      <c r="I10" s="80">
        <f t="shared" si="1"/>
        <v>0.6</v>
      </c>
      <c r="J10" s="81">
        <f>배점기준!$E$101*MAX(H10,I10)*E10</f>
        <v>0.6</v>
      </c>
      <c r="K10" s="82"/>
    </row>
    <row r="11" spans="1:13" s="57" customFormat="1" ht="30" customHeight="1">
      <c r="A11" s="179" t="s">
        <v>408</v>
      </c>
      <c r="B11" s="75">
        <v>10</v>
      </c>
      <c r="C11" s="75">
        <v>597</v>
      </c>
      <c r="D11" s="121" t="s">
        <v>464</v>
      </c>
      <c r="E11" s="76">
        <v>1</v>
      </c>
      <c r="F11" s="77">
        <v>9</v>
      </c>
      <c r="G11" s="78">
        <v>1</v>
      </c>
      <c r="H11" s="79">
        <f t="shared" si="0"/>
        <v>0</v>
      </c>
      <c r="I11" s="80">
        <f t="shared" si="1"/>
        <v>0.6</v>
      </c>
      <c r="J11" s="81">
        <f>배점기준!$E$101*MAX(H11,I11)*E11</f>
        <v>0.6</v>
      </c>
      <c r="K11" s="82"/>
    </row>
    <row r="12" spans="1:13" s="83" customFormat="1" ht="24.95" customHeight="1">
      <c r="A12" s="1152" t="s">
        <v>184</v>
      </c>
      <c r="B12" s="1153"/>
      <c r="C12" s="1153"/>
      <c r="D12" s="1153"/>
      <c r="E12" s="1153"/>
      <c r="F12" s="1153"/>
      <c r="G12" s="1153"/>
      <c r="H12" s="1153"/>
      <c r="I12" s="1154"/>
      <c r="J12" s="110">
        <f>SUM(J3:J11)</f>
        <v>5.8999999999999995</v>
      </c>
      <c r="K12" s="82"/>
    </row>
    <row r="13" spans="1:13" s="83" customFormat="1" ht="30" customHeight="1">
      <c r="A13" s="179" t="s">
        <v>219</v>
      </c>
      <c r="B13" s="75"/>
      <c r="C13" s="75"/>
      <c r="D13" s="75"/>
      <c r="E13" s="76"/>
      <c r="F13" s="77"/>
      <c r="G13" s="77"/>
      <c r="H13" s="79"/>
      <c r="I13" s="80"/>
      <c r="J13" s="81"/>
      <c r="K13" s="82"/>
    </row>
    <row r="14" spans="1:13" s="83" customFormat="1" ht="24.95" customHeight="1">
      <c r="A14" s="1150" t="s">
        <v>220</v>
      </c>
      <c r="B14" s="1151"/>
      <c r="C14" s="1151"/>
      <c r="D14" s="1151"/>
      <c r="E14" s="1151"/>
      <c r="F14" s="1151"/>
      <c r="G14" s="1151"/>
      <c r="H14" s="1151"/>
      <c r="I14" s="1151"/>
      <c r="J14" s="110">
        <f>SUM(J13:J13)</f>
        <v>0</v>
      </c>
      <c r="K14" s="82"/>
    </row>
    <row r="15" spans="1:13" s="83" customFormat="1" ht="30" customHeight="1">
      <c r="A15" s="180" t="s">
        <v>534</v>
      </c>
      <c r="B15" s="75"/>
      <c r="C15" s="75"/>
      <c r="D15" s="75"/>
      <c r="E15" s="76"/>
      <c r="F15" s="77"/>
      <c r="G15" s="77"/>
      <c r="H15" s="79"/>
      <c r="I15" s="80"/>
      <c r="J15" s="81"/>
      <c r="K15" s="82"/>
    </row>
    <row r="16" spans="1:13" s="83" customFormat="1" ht="24.95" customHeight="1" thickBot="1">
      <c r="A16" s="1148" t="s">
        <v>221</v>
      </c>
      <c r="B16" s="1149"/>
      <c r="C16" s="1149"/>
      <c r="D16" s="1149"/>
      <c r="E16" s="1149"/>
      <c r="F16" s="1149"/>
      <c r="G16" s="1149"/>
      <c r="H16" s="1149"/>
      <c r="I16" s="1149"/>
      <c r="J16" s="111">
        <f>SUM(J15:J15)</f>
        <v>0</v>
      </c>
      <c r="K16" s="84"/>
    </row>
    <row r="17" spans="5:10" ht="15" customHeight="1">
      <c r="E17" s="19"/>
      <c r="F17" s="19"/>
      <c r="G17" s="19"/>
      <c r="H17" s="20"/>
      <c r="I17" s="20"/>
      <c r="J17" s="21"/>
    </row>
    <row r="18" spans="5:10" ht="15" customHeight="1">
      <c r="E18" s="19"/>
      <c r="F18" s="19"/>
      <c r="G18" s="19"/>
      <c r="H18" s="20"/>
      <c r="I18" s="20"/>
      <c r="J18" s="21"/>
    </row>
    <row r="19" spans="5:10" ht="15" customHeight="1">
      <c r="E19" s="19"/>
      <c r="F19" s="19"/>
      <c r="G19" s="19"/>
      <c r="H19" s="20"/>
      <c r="I19" s="20"/>
      <c r="J19" s="21"/>
    </row>
    <row r="20" spans="5:10" ht="15" customHeight="1">
      <c r="E20" s="19"/>
      <c r="F20" s="19"/>
      <c r="G20" s="19"/>
      <c r="H20" s="20"/>
      <c r="I20" s="20"/>
      <c r="J20" s="21"/>
    </row>
    <row r="21" spans="5:10" ht="15" customHeight="1">
      <c r="E21" s="19"/>
      <c r="F21" s="19"/>
      <c r="G21" s="19"/>
      <c r="H21" s="20"/>
      <c r="I21" s="20"/>
      <c r="J21" s="21"/>
    </row>
    <row r="22" spans="5:10" ht="12" customHeight="1">
      <c r="E22" s="19"/>
      <c r="F22" s="19"/>
      <c r="G22" s="19"/>
      <c r="H22" s="20"/>
      <c r="I22" s="20"/>
      <c r="J22" s="21"/>
    </row>
    <row r="23" spans="5:10" ht="12" customHeight="1">
      <c r="E23" s="19"/>
      <c r="F23" s="19"/>
      <c r="G23" s="19"/>
      <c r="H23" s="20"/>
      <c r="I23" s="20"/>
      <c r="J23" s="21"/>
    </row>
    <row r="24" spans="5:10" ht="12" customHeight="1">
      <c r="E24" s="19"/>
      <c r="F24" s="19"/>
      <c r="G24" s="19"/>
      <c r="H24" s="20"/>
      <c r="I24" s="20"/>
      <c r="J24" s="21"/>
    </row>
    <row r="25" spans="5:10" ht="12" customHeight="1">
      <c r="E25" s="19"/>
      <c r="F25" s="19"/>
      <c r="G25" s="19"/>
      <c r="H25" s="20"/>
      <c r="I25" s="20"/>
      <c r="J25" s="21"/>
    </row>
    <row r="26" spans="5:10" ht="12" customHeight="1">
      <c r="E26" s="19"/>
      <c r="F26" s="19"/>
      <c r="G26" s="19"/>
      <c r="H26" s="20"/>
      <c r="I26" s="20"/>
      <c r="J26" s="21"/>
    </row>
    <row r="27" spans="5:10" ht="12" customHeight="1">
      <c r="E27" s="19"/>
      <c r="F27" s="19"/>
      <c r="G27" s="19"/>
      <c r="H27" s="20"/>
      <c r="I27" s="20"/>
      <c r="J27" s="21"/>
    </row>
    <row r="28" spans="5:10" ht="12" customHeight="1">
      <c r="E28" s="19"/>
      <c r="F28" s="19"/>
      <c r="G28" s="19"/>
      <c r="H28" s="20"/>
      <c r="I28" s="20"/>
      <c r="J28" s="21"/>
    </row>
    <row r="29" spans="5:10" ht="12" customHeight="1">
      <c r="E29" s="19"/>
      <c r="F29" s="19"/>
      <c r="G29" s="19"/>
      <c r="H29" s="20"/>
      <c r="I29" s="20"/>
      <c r="J29" s="21"/>
    </row>
    <row r="30" spans="5:10" ht="12" customHeight="1">
      <c r="E30" s="19"/>
      <c r="F30" s="19"/>
      <c r="G30" s="19"/>
      <c r="H30" s="20"/>
      <c r="I30" s="20"/>
      <c r="J30" s="21"/>
    </row>
    <row r="31" spans="5:10" ht="12" customHeight="1">
      <c r="E31" s="19"/>
      <c r="F31" s="19"/>
      <c r="G31" s="19"/>
      <c r="H31" s="20"/>
      <c r="I31" s="20"/>
      <c r="J31" s="21"/>
    </row>
    <row r="32" spans="5:10" ht="12" customHeight="1">
      <c r="E32" s="19"/>
      <c r="F32" s="19"/>
      <c r="G32" s="19"/>
      <c r="H32" s="20"/>
      <c r="I32" s="20"/>
      <c r="J32" s="21"/>
    </row>
    <row r="33" spans="5:10" ht="12" customHeight="1">
      <c r="E33" s="19"/>
      <c r="F33" s="19"/>
      <c r="G33" s="19"/>
      <c r="H33" s="20"/>
      <c r="I33" s="20"/>
      <c r="J33" s="21"/>
    </row>
    <row r="34" spans="5:10" ht="12" customHeight="1">
      <c r="E34" s="19"/>
      <c r="F34" s="19"/>
      <c r="G34" s="19"/>
      <c r="H34" s="20"/>
      <c r="I34" s="20"/>
      <c r="J34" s="21"/>
    </row>
    <row r="35" spans="5:10" ht="12" customHeight="1">
      <c r="E35" s="19"/>
      <c r="F35" s="19"/>
      <c r="G35" s="19"/>
      <c r="H35" s="20"/>
      <c r="I35" s="20"/>
      <c r="J35" s="21"/>
    </row>
    <row r="36" spans="5:10" ht="12" customHeight="1">
      <c r="E36" s="19"/>
      <c r="F36" s="19"/>
      <c r="G36" s="19"/>
      <c r="H36" s="20"/>
      <c r="I36" s="20"/>
      <c r="J36" s="21"/>
    </row>
    <row r="37" spans="5:10" ht="12" customHeight="1">
      <c r="E37" s="19"/>
      <c r="F37" s="19"/>
      <c r="G37" s="19"/>
      <c r="H37" s="20"/>
      <c r="I37" s="20"/>
      <c r="J37" s="21"/>
    </row>
    <row r="38" spans="5:10" ht="12" customHeight="1">
      <c r="E38" s="19"/>
      <c r="F38" s="19"/>
      <c r="G38" s="19"/>
      <c r="H38" s="20"/>
      <c r="I38" s="20"/>
      <c r="J38" s="21"/>
    </row>
    <row r="39" spans="5:10" ht="12" customHeight="1">
      <c r="E39" s="19"/>
      <c r="F39" s="19"/>
      <c r="G39" s="19"/>
      <c r="H39" s="20"/>
      <c r="I39" s="20"/>
      <c r="J39" s="21"/>
    </row>
    <row r="40" spans="5:10" ht="12" customHeight="1">
      <c r="E40" s="19"/>
      <c r="F40" s="19"/>
      <c r="G40" s="19"/>
      <c r="H40" s="20"/>
      <c r="I40" s="20"/>
      <c r="J40" s="21"/>
    </row>
    <row r="41" spans="5:10" ht="12" customHeight="1">
      <c r="E41" s="19"/>
      <c r="F41" s="19"/>
      <c r="G41" s="19"/>
      <c r="H41" s="20"/>
      <c r="I41" s="20"/>
      <c r="J41" s="21"/>
    </row>
    <row r="42" spans="5:10" ht="12" customHeight="1">
      <c r="E42" s="19"/>
      <c r="F42" s="19"/>
      <c r="G42" s="19"/>
      <c r="H42" s="20"/>
      <c r="I42" s="20"/>
      <c r="J42" s="21"/>
    </row>
    <row r="43" spans="5:10" ht="12" customHeight="1">
      <c r="E43" s="19"/>
      <c r="F43" s="19"/>
      <c r="G43" s="19"/>
      <c r="H43" s="20"/>
      <c r="I43" s="20"/>
      <c r="J43" s="21"/>
    </row>
    <row r="44" spans="5:10" ht="12" customHeight="1">
      <c r="E44" s="19"/>
      <c r="F44" s="19"/>
      <c r="G44" s="19"/>
      <c r="H44" s="20"/>
      <c r="I44" s="20"/>
      <c r="J44" s="21"/>
    </row>
    <row r="45" spans="5:10" ht="12" customHeight="1">
      <c r="E45" s="19"/>
      <c r="F45" s="19"/>
      <c r="G45" s="19"/>
      <c r="H45" s="20"/>
      <c r="I45" s="20"/>
      <c r="J45" s="21"/>
    </row>
    <row r="46" spans="5:10" ht="12" customHeight="1">
      <c r="E46" s="19"/>
      <c r="F46" s="19"/>
      <c r="G46" s="19"/>
      <c r="H46" s="20"/>
      <c r="I46" s="20"/>
      <c r="J46" s="21"/>
    </row>
    <row r="47" spans="5:10" ht="12" customHeight="1">
      <c r="E47" s="19"/>
      <c r="F47" s="19"/>
      <c r="G47" s="19"/>
      <c r="H47" s="20"/>
      <c r="I47" s="20"/>
      <c r="J47" s="21"/>
    </row>
    <row r="48" spans="5:10" ht="12" customHeight="1">
      <c r="E48" s="19"/>
      <c r="F48" s="19"/>
      <c r="G48" s="19"/>
      <c r="H48" s="20"/>
      <c r="I48" s="20"/>
      <c r="J48" s="21"/>
    </row>
    <row r="49" spans="5:10" ht="12" customHeight="1">
      <c r="E49" s="19"/>
      <c r="F49" s="19"/>
      <c r="G49" s="19"/>
      <c r="H49" s="20"/>
      <c r="I49" s="20"/>
      <c r="J49" s="21"/>
    </row>
    <row r="50" spans="5:10" ht="12" customHeight="1">
      <c r="E50" s="19"/>
      <c r="F50" s="19"/>
      <c r="G50" s="19"/>
      <c r="H50" s="20"/>
      <c r="I50" s="20"/>
      <c r="J50" s="21"/>
    </row>
    <row r="51" spans="5:10" ht="12" customHeight="1">
      <c r="E51" s="19"/>
      <c r="F51" s="19"/>
      <c r="G51" s="19"/>
      <c r="H51" s="20"/>
      <c r="I51" s="20"/>
      <c r="J51" s="21"/>
    </row>
    <row r="52" spans="5:10" ht="12" customHeight="1">
      <c r="E52" s="19"/>
      <c r="F52" s="19"/>
      <c r="G52" s="19"/>
      <c r="H52" s="20"/>
      <c r="I52" s="20"/>
      <c r="J52" s="21"/>
    </row>
    <row r="53" spans="5:10" ht="12" customHeight="1">
      <c r="E53" s="19"/>
      <c r="F53" s="19"/>
      <c r="G53" s="19"/>
      <c r="H53" s="20"/>
      <c r="I53" s="20"/>
      <c r="J53" s="21"/>
    </row>
    <row r="54" spans="5:10" ht="12" customHeight="1">
      <c r="E54" s="19"/>
      <c r="F54" s="19"/>
      <c r="G54" s="19"/>
      <c r="H54" s="20"/>
      <c r="I54" s="20"/>
      <c r="J54" s="21"/>
    </row>
    <row r="55" spans="5:10" ht="12" customHeight="1">
      <c r="E55" s="19"/>
      <c r="F55" s="19"/>
      <c r="G55" s="19"/>
      <c r="H55" s="20"/>
      <c r="I55" s="20"/>
      <c r="J55" s="21"/>
    </row>
    <row r="56" spans="5:10" ht="12" customHeight="1">
      <c r="E56" s="19"/>
      <c r="F56" s="19"/>
      <c r="G56" s="19"/>
      <c r="H56" s="20"/>
      <c r="I56" s="20"/>
      <c r="J56" s="21"/>
    </row>
    <row r="57" spans="5:10" ht="12" customHeight="1">
      <c r="E57" s="19"/>
      <c r="F57" s="19"/>
      <c r="G57" s="19"/>
      <c r="H57" s="20"/>
      <c r="I57" s="20"/>
      <c r="J57" s="21"/>
    </row>
    <row r="58" spans="5:10" ht="12" customHeight="1">
      <c r="E58" s="19"/>
      <c r="F58" s="19"/>
      <c r="G58" s="19"/>
      <c r="H58" s="20"/>
      <c r="I58" s="20"/>
      <c r="J58" s="21"/>
    </row>
    <row r="59" spans="5:10" ht="12" customHeight="1">
      <c r="E59" s="19"/>
      <c r="F59" s="19"/>
      <c r="G59" s="19"/>
      <c r="H59" s="20"/>
      <c r="I59" s="20"/>
      <c r="J59" s="21"/>
    </row>
    <row r="60" spans="5:10" ht="12" customHeight="1">
      <c r="E60" s="19"/>
      <c r="F60" s="19"/>
      <c r="G60" s="19"/>
      <c r="H60" s="20"/>
      <c r="I60" s="20"/>
      <c r="J60" s="21"/>
    </row>
    <row r="61" spans="5:10" ht="12" customHeight="1">
      <c r="E61" s="19"/>
      <c r="F61" s="19"/>
      <c r="G61" s="19"/>
      <c r="H61" s="20"/>
      <c r="I61" s="20"/>
      <c r="J61" s="21"/>
    </row>
    <row r="62" spans="5:10" ht="12" customHeight="1">
      <c r="E62" s="19"/>
      <c r="F62" s="19"/>
      <c r="G62" s="19"/>
      <c r="H62" s="20"/>
      <c r="I62" s="20"/>
      <c r="J62" s="21"/>
    </row>
    <row r="63" spans="5:10" ht="12" customHeight="1">
      <c r="E63" s="19"/>
      <c r="F63" s="19"/>
      <c r="G63" s="19"/>
      <c r="H63" s="20"/>
      <c r="I63" s="20"/>
      <c r="J63" s="21"/>
    </row>
    <row r="64" spans="5:10" ht="12" customHeight="1">
      <c r="E64" s="19"/>
      <c r="F64" s="19"/>
      <c r="G64" s="19"/>
      <c r="H64" s="20"/>
      <c r="I64" s="20"/>
      <c r="J64" s="21"/>
    </row>
    <row r="65" spans="5:10" ht="12" customHeight="1">
      <c r="E65" s="19"/>
      <c r="F65" s="19"/>
      <c r="G65" s="19"/>
      <c r="H65" s="20"/>
      <c r="I65" s="20"/>
      <c r="J65" s="21"/>
    </row>
    <row r="66" spans="5:10" ht="12" customHeight="1">
      <c r="E66" s="19"/>
      <c r="F66" s="19"/>
      <c r="G66" s="19"/>
      <c r="H66" s="20"/>
      <c r="I66" s="20"/>
      <c r="J66" s="21"/>
    </row>
    <row r="67" spans="5:10" ht="12" customHeight="1">
      <c r="E67" s="19"/>
      <c r="F67" s="19"/>
      <c r="G67" s="19"/>
      <c r="H67" s="20"/>
      <c r="I67" s="20"/>
      <c r="J67" s="21"/>
    </row>
    <row r="68" spans="5:10" ht="12" customHeight="1">
      <c r="E68" s="19"/>
      <c r="F68" s="19"/>
      <c r="G68" s="19"/>
      <c r="H68" s="20"/>
      <c r="I68" s="20"/>
      <c r="J68" s="21"/>
    </row>
    <row r="69" spans="5:10" ht="12" customHeight="1">
      <c r="E69" s="19"/>
      <c r="F69" s="19"/>
      <c r="G69" s="19"/>
      <c r="H69" s="20"/>
      <c r="I69" s="20"/>
      <c r="J69" s="21"/>
    </row>
    <row r="70" spans="5:10" ht="12" customHeight="1">
      <c r="E70" s="19"/>
      <c r="F70" s="19"/>
      <c r="G70" s="19"/>
      <c r="H70" s="20"/>
      <c r="I70" s="20"/>
      <c r="J70" s="21"/>
    </row>
    <row r="71" spans="5:10" ht="12" customHeight="1">
      <c r="E71" s="19"/>
      <c r="F71" s="19"/>
      <c r="G71" s="19"/>
      <c r="H71" s="20"/>
      <c r="I71" s="20"/>
      <c r="J71" s="21"/>
    </row>
    <row r="72" spans="5:10" ht="12" customHeight="1">
      <c r="E72" s="19"/>
      <c r="F72" s="19"/>
      <c r="G72" s="19"/>
      <c r="H72" s="20"/>
      <c r="I72" s="20"/>
      <c r="J72" s="21"/>
    </row>
    <row r="73" spans="5:10" ht="12" customHeight="1">
      <c r="E73" s="19"/>
      <c r="F73" s="19"/>
      <c r="G73" s="19"/>
      <c r="H73" s="20"/>
      <c r="I73" s="20"/>
      <c r="J73" s="21"/>
    </row>
    <row r="74" spans="5:10" ht="12" customHeight="1">
      <c r="E74" s="19"/>
      <c r="F74" s="19"/>
      <c r="G74" s="19"/>
      <c r="H74" s="20"/>
      <c r="I74" s="20"/>
      <c r="J74" s="21"/>
    </row>
    <row r="75" spans="5:10" ht="12" customHeight="1">
      <c r="E75" s="19"/>
      <c r="F75" s="19"/>
      <c r="G75" s="19"/>
      <c r="H75" s="20"/>
      <c r="I75" s="20"/>
      <c r="J75" s="21"/>
    </row>
    <row r="76" spans="5:10" ht="12" customHeight="1">
      <c r="E76" s="19"/>
      <c r="F76" s="19"/>
      <c r="G76" s="19"/>
      <c r="H76" s="20"/>
      <c r="I76" s="20"/>
      <c r="J76" s="21"/>
    </row>
    <row r="77" spans="5:10" ht="12" customHeight="1">
      <c r="E77" s="19"/>
      <c r="F77" s="19"/>
      <c r="G77" s="19"/>
      <c r="H77" s="20"/>
      <c r="I77" s="20"/>
      <c r="J77" s="21"/>
    </row>
    <row r="78" spans="5:10" ht="12" customHeight="1">
      <c r="E78" s="19"/>
      <c r="F78" s="19"/>
      <c r="G78" s="19"/>
      <c r="H78" s="20"/>
      <c r="I78" s="20"/>
      <c r="J78" s="21"/>
    </row>
    <row r="79" spans="5:10" ht="12" customHeight="1">
      <c r="E79" s="19"/>
      <c r="F79" s="19"/>
      <c r="G79" s="19"/>
      <c r="H79" s="20"/>
      <c r="I79" s="20"/>
      <c r="J79" s="21"/>
    </row>
    <row r="80" spans="5:10" ht="12" customHeight="1">
      <c r="E80" s="19"/>
      <c r="F80" s="19"/>
      <c r="G80" s="19"/>
      <c r="H80" s="20"/>
      <c r="I80" s="20"/>
      <c r="J80" s="21"/>
    </row>
    <row r="81" spans="5:10" ht="12" customHeight="1">
      <c r="E81" s="19"/>
      <c r="F81" s="19"/>
      <c r="G81" s="19"/>
      <c r="H81" s="20"/>
      <c r="I81" s="20"/>
      <c r="J81" s="21"/>
    </row>
    <row r="82" spans="5:10" ht="12" customHeight="1">
      <c r="E82" s="19"/>
      <c r="F82" s="19"/>
      <c r="G82" s="19"/>
      <c r="H82" s="20"/>
      <c r="I82" s="20"/>
      <c r="J82" s="21"/>
    </row>
    <row r="83" spans="5:10" ht="12" customHeight="1">
      <c r="E83" s="19"/>
      <c r="F83" s="19"/>
      <c r="G83" s="19"/>
      <c r="H83" s="20"/>
      <c r="I83" s="20"/>
      <c r="J83" s="21"/>
    </row>
    <row r="84" spans="5:10" ht="12" customHeight="1">
      <c r="E84" s="19"/>
      <c r="F84" s="19"/>
      <c r="G84" s="19"/>
      <c r="H84" s="20"/>
      <c r="I84" s="20"/>
      <c r="J84" s="21"/>
    </row>
    <row r="85" spans="5:10" ht="12" customHeight="1">
      <c r="E85" s="19"/>
      <c r="F85" s="19"/>
      <c r="G85" s="19"/>
      <c r="H85" s="20"/>
      <c r="I85" s="20"/>
      <c r="J85" s="21"/>
    </row>
    <row r="86" spans="5:10" ht="12" customHeight="1">
      <c r="E86" s="19"/>
      <c r="F86" s="19"/>
      <c r="G86" s="19"/>
      <c r="H86" s="20"/>
      <c r="I86" s="20"/>
      <c r="J86" s="21"/>
    </row>
    <row r="87" spans="5:10" ht="12" customHeight="1">
      <c r="E87" s="19"/>
      <c r="F87" s="19"/>
      <c r="G87" s="19"/>
      <c r="H87" s="20"/>
      <c r="I87" s="20"/>
      <c r="J87" s="21"/>
    </row>
    <row r="88" spans="5:10" ht="12" customHeight="1">
      <c r="E88" s="19"/>
      <c r="F88" s="19"/>
      <c r="G88" s="19"/>
      <c r="H88" s="20"/>
      <c r="I88" s="20"/>
      <c r="J88" s="21"/>
    </row>
    <row r="89" spans="5:10" ht="12" customHeight="1">
      <c r="E89" s="19"/>
      <c r="F89" s="19"/>
      <c r="G89" s="19"/>
      <c r="H89" s="20"/>
      <c r="I89" s="20"/>
      <c r="J89" s="21"/>
    </row>
    <row r="90" spans="5:10" ht="12" customHeight="1">
      <c r="E90" s="19"/>
      <c r="F90" s="19"/>
      <c r="G90" s="19"/>
      <c r="H90" s="20"/>
      <c r="I90" s="20"/>
      <c r="J90" s="21"/>
    </row>
    <row r="91" spans="5:10" ht="12" customHeight="1">
      <c r="E91" s="19"/>
      <c r="F91" s="19"/>
      <c r="G91" s="19"/>
      <c r="H91" s="20"/>
      <c r="I91" s="20"/>
      <c r="J91" s="21"/>
    </row>
    <row r="92" spans="5:10" ht="12" customHeight="1">
      <c r="E92" s="19"/>
      <c r="F92" s="19"/>
      <c r="G92" s="19"/>
      <c r="H92" s="20"/>
      <c r="I92" s="20"/>
      <c r="J92" s="21"/>
    </row>
    <row r="93" spans="5:10" ht="12" customHeight="1">
      <c r="E93" s="19"/>
      <c r="F93" s="19"/>
      <c r="G93" s="19"/>
      <c r="H93" s="20"/>
      <c r="I93" s="20"/>
      <c r="J93" s="21"/>
    </row>
    <row r="94" spans="5:10" ht="12" customHeight="1">
      <c r="E94" s="19"/>
      <c r="F94" s="19"/>
      <c r="G94" s="19"/>
      <c r="H94" s="20"/>
      <c r="I94" s="20"/>
      <c r="J94" s="21"/>
    </row>
    <row r="95" spans="5:10" ht="12" customHeight="1">
      <c r="E95" s="19"/>
      <c r="F95" s="19"/>
      <c r="G95" s="19"/>
      <c r="H95" s="20"/>
      <c r="I95" s="20"/>
      <c r="J95" s="21"/>
    </row>
    <row r="96" spans="5:10" ht="12" customHeight="1">
      <c r="E96" s="19"/>
      <c r="F96" s="19"/>
      <c r="G96" s="19"/>
      <c r="H96" s="20"/>
      <c r="I96" s="20"/>
      <c r="J96" s="21"/>
    </row>
    <row r="97" spans="5:10" ht="12" customHeight="1">
      <c r="E97" s="19"/>
      <c r="F97" s="19"/>
      <c r="G97" s="19"/>
      <c r="H97" s="20"/>
      <c r="I97" s="20"/>
      <c r="J97" s="21"/>
    </row>
    <row r="98" spans="5:10" ht="12" customHeight="1">
      <c r="E98" s="19"/>
      <c r="F98" s="19"/>
      <c r="G98" s="19"/>
      <c r="H98" s="20"/>
      <c r="I98" s="20"/>
      <c r="J98" s="21"/>
    </row>
    <row r="99" spans="5:10" ht="12" customHeight="1">
      <c r="E99" s="19"/>
      <c r="F99" s="19"/>
      <c r="G99" s="19"/>
      <c r="H99" s="20"/>
      <c r="I99" s="20"/>
      <c r="J99" s="21"/>
    </row>
    <row r="100" spans="5:10" ht="12" customHeight="1">
      <c r="E100" s="19"/>
      <c r="F100" s="19"/>
      <c r="G100" s="19"/>
      <c r="H100" s="20"/>
      <c r="I100" s="20"/>
      <c r="J100" s="21"/>
    </row>
    <row r="101" spans="5:10" ht="12" customHeight="1">
      <c r="E101" s="19"/>
      <c r="F101" s="19"/>
      <c r="G101" s="19"/>
      <c r="H101" s="20"/>
      <c r="I101" s="20"/>
      <c r="J101" s="21"/>
    </row>
    <row r="102" spans="5:10" ht="12" customHeight="1">
      <c r="E102" s="19"/>
      <c r="F102" s="19"/>
      <c r="G102" s="19"/>
      <c r="H102" s="20"/>
      <c r="I102" s="20"/>
      <c r="J102" s="21"/>
    </row>
    <row r="103" spans="5:10" ht="12" customHeight="1">
      <c r="E103" s="19"/>
      <c r="F103" s="19"/>
      <c r="G103" s="19"/>
      <c r="H103" s="20"/>
      <c r="I103" s="20"/>
      <c r="J103" s="21"/>
    </row>
    <row r="104" spans="5:10" ht="12" customHeight="1">
      <c r="E104" s="19"/>
      <c r="F104" s="19"/>
      <c r="G104" s="19"/>
      <c r="H104" s="20"/>
      <c r="I104" s="20"/>
      <c r="J104" s="21"/>
    </row>
    <row r="105" spans="5:10" ht="12" customHeight="1">
      <c r="E105" s="19"/>
      <c r="F105" s="19"/>
      <c r="G105" s="19"/>
      <c r="H105" s="20"/>
      <c r="I105" s="20"/>
      <c r="J105" s="21"/>
    </row>
    <row r="106" spans="5:10" ht="12" customHeight="1">
      <c r="E106" s="19"/>
      <c r="F106" s="19"/>
      <c r="G106" s="19"/>
      <c r="H106" s="20"/>
      <c r="I106" s="20"/>
      <c r="J106" s="21"/>
    </row>
    <row r="107" spans="5:10" ht="12" customHeight="1">
      <c r="E107" s="19"/>
      <c r="F107" s="19"/>
      <c r="G107" s="19"/>
      <c r="H107" s="20"/>
      <c r="I107" s="20"/>
      <c r="J107" s="21"/>
    </row>
    <row r="108" spans="5:10" ht="12" customHeight="1">
      <c r="E108" s="19"/>
      <c r="F108" s="19"/>
      <c r="G108" s="19"/>
      <c r="H108" s="20"/>
      <c r="I108" s="20"/>
      <c r="J108" s="21"/>
    </row>
    <row r="109" spans="5:10" ht="12" customHeight="1">
      <c r="E109" s="19"/>
      <c r="F109" s="19"/>
      <c r="G109" s="19"/>
      <c r="H109" s="20"/>
      <c r="I109" s="20"/>
      <c r="J109" s="21"/>
    </row>
    <row r="110" spans="5:10" ht="12" customHeight="1">
      <c r="E110" s="19"/>
      <c r="F110" s="19"/>
      <c r="G110" s="19"/>
      <c r="H110" s="20"/>
      <c r="I110" s="20"/>
      <c r="J110" s="21"/>
    </row>
    <row r="111" spans="5:10" ht="12" customHeight="1">
      <c r="E111" s="19"/>
      <c r="F111" s="19"/>
      <c r="G111" s="19"/>
      <c r="H111" s="20"/>
      <c r="I111" s="20"/>
      <c r="J111" s="21"/>
    </row>
    <row r="112" spans="5:10" ht="12" customHeight="1">
      <c r="E112" s="19"/>
      <c r="F112" s="19"/>
      <c r="G112" s="19"/>
      <c r="H112" s="20"/>
      <c r="I112" s="20"/>
      <c r="J112" s="21"/>
    </row>
    <row r="113" spans="5:10" ht="12" customHeight="1">
      <c r="E113" s="19"/>
      <c r="F113" s="19"/>
      <c r="G113" s="19"/>
      <c r="H113" s="20"/>
      <c r="I113" s="20"/>
      <c r="J113" s="21"/>
    </row>
    <row r="114" spans="5:10" ht="12" customHeight="1">
      <c r="E114" s="19"/>
      <c r="F114" s="19"/>
      <c r="G114" s="19"/>
      <c r="H114" s="20"/>
      <c r="I114" s="20"/>
      <c r="J114" s="21"/>
    </row>
    <row r="115" spans="5:10" ht="12" customHeight="1">
      <c r="E115" s="19"/>
      <c r="F115" s="19"/>
      <c r="G115" s="19"/>
      <c r="H115" s="20"/>
      <c r="I115" s="20"/>
      <c r="J115" s="21"/>
    </row>
    <row r="116" spans="5:10" ht="12" customHeight="1">
      <c r="E116" s="19"/>
      <c r="F116" s="19"/>
      <c r="G116" s="19"/>
      <c r="H116" s="20"/>
      <c r="I116" s="20"/>
      <c r="J116" s="21"/>
    </row>
    <row r="117" spans="5:10" ht="12" customHeight="1">
      <c r="E117" s="19"/>
      <c r="F117" s="19"/>
      <c r="G117" s="19"/>
      <c r="H117" s="20"/>
      <c r="I117" s="20"/>
      <c r="J117" s="21"/>
    </row>
    <row r="118" spans="5:10" ht="12" customHeight="1">
      <c r="E118" s="19"/>
      <c r="F118" s="19"/>
      <c r="G118" s="19"/>
      <c r="H118" s="20"/>
      <c r="I118" s="20"/>
      <c r="J118" s="21"/>
    </row>
    <row r="119" spans="5:10" ht="12" customHeight="1">
      <c r="E119" s="19"/>
      <c r="F119" s="19"/>
      <c r="G119" s="19"/>
      <c r="H119" s="20"/>
      <c r="I119" s="20"/>
      <c r="J119" s="21"/>
    </row>
    <row r="120" spans="5:10" ht="12" customHeight="1">
      <c r="E120" s="19"/>
      <c r="F120" s="19"/>
      <c r="G120" s="19"/>
      <c r="H120" s="20"/>
      <c r="I120" s="20"/>
      <c r="J120" s="21"/>
    </row>
    <row r="121" spans="5:10" ht="12" customHeight="1">
      <c r="E121" s="19"/>
      <c r="F121" s="19"/>
      <c r="G121" s="19"/>
      <c r="H121" s="20"/>
      <c r="I121" s="20"/>
      <c r="J121" s="21"/>
    </row>
  </sheetData>
  <mergeCells count="3">
    <mergeCell ref="A16:I16"/>
    <mergeCell ref="A14:I14"/>
    <mergeCell ref="A12:I12"/>
  </mergeCells>
  <phoneticPr fontId="3" type="noConversion"/>
  <pageMargins left="0.8" right="0.74803149606299213" top="0.51" bottom="0.4" header="0.35" footer="0.32"/>
  <pageSetup paperSize="9" fitToHeight="3" orientation="landscape" r:id="rId1"/>
  <headerFooter alignWithMargins="0"/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9"/>
  <sheetViews>
    <sheetView view="pageBreakPreview" zoomScale="85" zoomScaleNormal="70" zoomScaleSheetLayoutView="70" workbookViewId="0">
      <selection activeCell="J13" sqref="J13"/>
    </sheetView>
  </sheetViews>
  <sheetFormatPr defaultRowHeight="15.95" customHeight="1"/>
  <cols>
    <col min="1" max="1" width="3.77734375" style="207" customWidth="1"/>
    <col min="2" max="2" width="25.21875" style="207" customWidth="1"/>
    <col min="3" max="6" width="20.77734375" style="207" customWidth="1"/>
    <col min="7" max="7" width="7.77734375" style="207" customWidth="1"/>
    <col min="8" max="8" width="6.6640625" style="207" customWidth="1"/>
    <col min="9" max="9" width="15" style="207" customWidth="1"/>
    <col min="10" max="11" width="14.33203125" style="207" customWidth="1"/>
    <col min="12" max="12" width="12.33203125" style="455" customWidth="1"/>
    <col min="13" max="13" width="7.88671875" style="207" customWidth="1"/>
    <col min="14" max="14" width="10.109375" style="207" bestFit="1" customWidth="1"/>
    <col min="15" max="15" width="7.77734375" style="207" customWidth="1"/>
    <col min="16" max="16384" width="8.88671875" style="207"/>
  </cols>
  <sheetData>
    <row r="1" spans="1:12" s="365" customFormat="1" ht="33" customHeight="1">
      <c r="A1" s="364" t="s">
        <v>633</v>
      </c>
      <c r="L1" s="452"/>
    </row>
    <row r="2" spans="1:12" s="218" customFormat="1" ht="15" customHeight="1">
      <c r="A2" s="363"/>
      <c r="L2" s="453"/>
    </row>
    <row r="3" spans="1:12" s="365" customFormat="1" ht="33" customHeight="1">
      <c r="B3" s="401" t="s">
        <v>665</v>
      </c>
      <c r="C3" s="401"/>
    </row>
    <row r="4" spans="1:12" s="218" customFormat="1" ht="33" customHeight="1">
      <c r="B4" s="1088" t="s">
        <v>54</v>
      </c>
      <c r="C4" s="1159" t="s">
        <v>632</v>
      </c>
      <c r="D4" s="1137"/>
      <c r="E4" s="1137"/>
      <c r="F4" s="976" t="s">
        <v>631</v>
      </c>
    </row>
    <row r="5" spans="1:12" s="218" customFormat="1" ht="33" customHeight="1">
      <c r="B5" s="1089"/>
      <c r="C5" s="1160"/>
      <c r="D5" s="1138"/>
      <c r="E5" s="1138"/>
      <c r="F5" s="978"/>
    </row>
    <row r="6" spans="1:12" s="218" customFormat="1" ht="33" customHeight="1">
      <c r="B6" s="786" t="s">
        <v>634</v>
      </c>
      <c r="C6" s="1155" t="s">
        <v>616</v>
      </c>
      <c r="D6" s="1155"/>
      <c r="E6" s="1155"/>
      <c r="F6" s="1161"/>
    </row>
    <row r="7" spans="1:12" s="218" customFormat="1" ht="33" customHeight="1">
      <c r="B7" s="786" t="s">
        <v>635</v>
      </c>
      <c r="C7" s="1155" t="s">
        <v>616</v>
      </c>
      <c r="D7" s="1155"/>
      <c r="E7" s="1155"/>
      <c r="F7" s="1162"/>
    </row>
    <row r="8" spans="1:12" s="218" customFormat="1" ht="33" customHeight="1">
      <c r="B8" s="786" t="s">
        <v>636</v>
      </c>
      <c r="C8" s="1155" t="s">
        <v>616</v>
      </c>
      <c r="D8" s="1155"/>
      <c r="E8" s="1155"/>
      <c r="F8" s="1163"/>
    </row>
    <row r="9" spans="1:12" s="218" customFormat="1" ht="15" customHeight="1">
      <c r="B9" s="454"/>
      <c r="L9" s="453"/>
    </row>
    <row r="10" spans="1:12" ht="33" customHeight="1">
      <c r="B10" s="401" t="s">
        <v>630</v>
      </c>
      <c r="C10" s="401"/>
      <c r="D10" s="365"/>
      <c r="E10" s="365"/>
      <c r="F10" s="365"/>
    </row>
    <row r="11" spans="1:12" ht="33" customHeight="1">
      <c r="B11" s="1087" t="s">
        <v>629</v>
      </c>
      <c r="C11" s="1087" t="s">
        <v>628</v>
      </c>
      <c r="D11" s="1158" t="s">
        <v>627</v>
      </c>
      <c r="E11" s="1158" t="s">
        <v>626</v>
      </c>
      <c r="F11" s="1158" t="s">
        <v>625</v>
      </c>
    </row>
    <row r="12" spans="1:12" ht="33" customHeight="1">
      <c r="B12" s="1087"/>
      <c r="C12" s="1087"/>
      <c r="D12" s="1087"/>
      <c r="E12" s="1087"/>
      <c r="F12" s="1087"/>
    </row>
    <row r="13" spans="1:12" ht="33" customHeight="1">
      <c r="B13" s="456"/>
      <c r="C13" s="457">
        <v>0</v>
      </c>
      <c r="D13" s="457">
        <v>0</v>
      </c>
      <c r="E13" s="458">
        <v>0</v>
      </c>
      <c r="F13" s="1156">
        <f>IF(SUM(E13:E14)&gt;=82%,1,IF(SUM(E13:E14)&gt;=77%,0.8,IF(SUM(E13:E14)&gt;=70%,0.6,IF(SUM(E13:E14)&gt;=65%,0.4,0))))</f>
        <v>0</v>
      </c>
    </row>
    <row r="14" spans="1:12" ht="33" customHeight="1">
      <c r="B14" s="456"/>
      <c r="C14" s="457">
        <v>0</v>
      </c>
      <c r="D14" s="457">
        <v>0</v>
      </c>
      <c r="E14" s="458">
        <v>0</v>
      </c>
      <c r="F14" s="1157"/>
    </row>
    <row r="15" spans="1:12" ht="33" customHeight="1"/>
    <row r="16" spans="1:12" ht="20.100000000000001" customHeight="1">
      <c r="A16" s="34" t="s">
        <v>624</v>
      </c>
      <c r="B16" s="35" t="s">
        <v>623</v>
      </c>
      <c r="C16" s="35"/>
      <c r="D16" s="390"/>
      <c r="E16" s="390"/>
    </row>
    <row r="17" spans="1:5" ht="20.100000000000001" customHeight="1">
      <c r="A17" s="390"/>
      <c r="B17" s="35" t="s">
        <v>622</v>
      </c>
      <c r="C17" s="35"/>
      <c r="D17" s="390"/>
      <c r="E17" s="390"/>
    </row>
    <row r="18" spans="1:5" ht="20.100000000000001" customHeight="1">
      <c r="A18" s="207" t="s">
        <v>621</v>
      </c>
      <c r="B18" s="207" t="s">
        <v>620</v>
      </c>
    </row>
    <row r="19" spans="1:5" ht="20.100000000000001" customHeight="1">
      <c r="B19" s="207" t="s">
        <v>619</v>
      </c>
    </row>
  </sheetData>
  <mergeCells count="13">
    <mergeCell ref="F4:F5"/>
    <mergeCell ref="C8:E8"/>
    <mergeCell ref="F13:F14"/>
    <mergeCell ref="B4:B5"/>
    <mergeCell ref="D11:D12"/>
    <mergeCell ref="B11:B12"/>
    <mergeCell ref="C11:C12"/>
    <mergeCell ref="F11:F12"/>
    <mergeCell ref="E11:E12"/>
    <mergeCell ref="C4:E5"/>
    <mergeCell ref="C6:E6"/>
    <mergeCell ref="C7:E7"/>
    <mergeCell ref="F6:F8"/>
  </mergeCells>
  <phoneticPr fontId="2" type="noConversion"/>
  <pageMargins left="0.74803149606299213" right="0.74803149606299213" top="1.08" bottom="0.78740157480314965" header="0.51181102362204722" footer="0.51181102362204722"/>
  <pageSetup paperSize="9" scale="94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A21"/>
  <sheetViews>
    <sheetView view="pageBreakPreview" zoomScaleNormal="70" zoomScaleSheetLayoutView="55" workbookViewId="0"/>
  </sheetViews>
  <sheetFormatPr defaultRowHeight="15.95" customHeight="1"/>
  <cols>
    <col min="1" max="1" width="3.77734375" style="207" customWidth="1"/>
    <col min="2" max="2" width="20" style="207" customWidth="1"/>
    <col min="3" max="3" width="11.6640625" style="374" bestFit="1" customWidth="1"/>
    <col min="4" max="25" width="9" style="207" customWidth="1"/>
    <col min="26" max="16384" width="8.88671875" style="207"/>
  </cols>
  <sheetData>
    <row r="1" spans="1:27" s="365" customFormat="1" ht="30" customHeight="1" thickBot="1">
      <c r="A1" s="364" t="s">
        <v>637</v>
      </c>
      <c r="C1" s="366"/>
    </row>
    <row r="2" spans="1:27" s="365" customFormat="1" ht="30" customHeight="1" thickBot="1">
      <c r="A2" s="364"/>
      <c r="C2" s="366"/>
      <c r="K2" s="396"/>
      <c r="L2" s="397"/>
      <c r="M2" s="397"/>
      <c r="N2" s="397"/>
      <c r="O2" s="397"/>
      <c r="P2" s="397"/>
      <c r="T2" s="396"/>
      <c r="U2" s="396"/>
      <c r="V2" s="396"/>
      <c r="W2" s="398"/>
      <c r="X2" s="399" t="s">
        <v>18</v>
      </c>
      <c r="Y2" s="400">
        <v>36</v>
      </c>
    </row>
    <row r="3" spans="1:27" ht="30" customHeight="1" thickBot="1">
      <c r="B3" s="401"/>
      <c r="C3" s="365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</row>
    <row r="4" spans="1:27" ht="30" customHeight="1">
      <c r="B4" s="1173" t="s">
        <v>54</v>
      </c>
      <c r="C4" s="1175" t="s">
        <v>235</v>
      </c>
      <c r="D4" s="1176"/>
      <c r="E4" s="1176"/>
      <c r="F4" s="1176"/>
      <c r="G4" s="1176"/>
      <c r="H4" s="1176"/>
      <c r="I4" s="1176"/>
      <c r="J4" s="1176"/>
      <c r="K4" s="1176"/>
      <c r="L4" s="1176"/>
      <c r="M4" s="1176"/>
      <c r="N4" s="1176"/>
      <c r="O4" s="1176"/>
      <c r="P4" s="1176"/>
      <c r="Q4" s="1176"/>
      <c r="R4" s="1176"/>
      <c r="S4" s="1176"/>
      <c r="T4" s="1176"/>
      <c r="U4" s="1176"/>
      <c r="V4" s="1176"/>
      <c r="W4" s="1176"/>
      <c r="X4" s="1176"/>
      <c r="Y4" s="1177"/>
    </row>
    <row r="5" spans="1:27" ht="30" customHeight="1">
      <c r="B5" s="1174"/>
      <c r="C5" s="402" t="s">
        <v>763</v>
      </c>
      <c r="D5" s="843" t="s">
        <v>638</v>
      </c>
      <c r="E5" s="403" t="str">
        <f>배점기준!C3</f>
        <v>도시계획</v>
      </c>
      <c r="F5" s="403" t="str">
        <f>배점기준!C4</f>
        <v>토질지질</v>
      </c>
      <c r="G5" s="403" t="str">
        <f>배점기준!C5</f>
        <v>도로공항</v>
      </c>
      <c r="H5" s="403" t="str">
        <f>배점기준!C6</f>
        <v>토목구조</v>
      </c>
      <c r="I5" s="403" t="str">
        <f>배점기준!C7</f>
        <v>상하수도</v>
      </c>
      <c r="J5" s="403" t="str">
        <f>배점기준!C8</f>
        <v>조경</v>
      </c>
      <c r="K5" s="404" t="s">
        <v>639</v>
      </c>
      <c r="L5" s="405" t="str">
        <f>E5</f>
        <v>도시계획</v>
      </c>
      <c r="M5" s="405" t="str">
        <f t="shared" ref="M5:Q5" si="0">F5</f>
        <v>토질지질</v>
      </c>
      <c r="N5" s="405" t="str">
        <f t="shared" si="0"/>
        <v>도로공항</v>
      </c>
      <c r="O5" s="405" t="str">
        <f t="shared" si="0"/>
        <v>토목구조</v>
      </c>
      <c r="P5" s="405" t="str">
        <f t="shared" si="0"/>
        <v>상하수도</v>
      </c>
      <c r="Q5" s="405" t="str">
        <f t="shared" si="0"/>
        <v>조경</v>
      </c>
      <c r="R5" s="404" t="s">
        <v>640</v>
      </c>
      <c r="S5" s="406" t="str">
        <f>L5</f>
        <v>도시계획</v>
      </c>
      <c r="T5" s="406" t="str">
        <f t="shared" ref="T5:X5" si="1">M5</f>
        <v>토질지질</v>
      </c>
      <c r="U5" s="406" t="str">
        <f t="shared" si="1"/>
        <v>도로공항</v>
      </c>
      <c r="V5" s="406" t="str">
        <f t="shared" si="1"/>
        <v>토목구조</v>
      </c>
      <c r="W5" s="406" t="str">
        <f t="shared" si="1"/>
        <v>상하수도</v>
      </c>
      <c r="X5" s="406" t="str">
        <f t="shared" si="1"/>
        <v>조경</v>
      </c>
      <c r="Y5" s="407" t="s">
        <v>641</v>
      </c>
    </row>
    <row r="6" spans="1:27" ht="30" customHeight="1">
      <c r="B6" s="408" t="s">
        <v>634</v>
      </c>
      <c r="C6" s="844" t="s">
        <v>338</v>
      </c>
      <c r="D6" s="409">
        <f>중첩신고!H10</f>
        <v>5.9333333333333336</v>
      </c>
      <c r="E6" s="410">
        <f>중첩신고!H22</f>
        <v>14.9</v>
      </c>
      <c r="F6" s="411">
        <f>중첩신고!H32</f>
        <v>14.9</v>
      </c>
      <c r="G6" s="411">
        <f>중첩신고!H43</f>
        <v>12</v>
      </c>
      <c r="H6" s="411">
        <f>중첩신고!H50</f>
        <v>5.9333333333333336</v>
      </c>
      <c r="I6" s="411">
        <f>중첩신고!H57</f>
        <v>2.9</v>
      </c>
      <c r="J6" s="411" t="s">
        <v>642</v>
      </c>
      <c r="K6" s="412"/>
      <c r="L6" s="413">
        <f>중첩신고!H66</f>
        <v>5.9333333333333336</v>
      </c>
      <c r="M6" s="414">
        <f>중첩신고!H75</f>
        <v>11.866666666666667</v>
      </c>
      <c r="N6" s="414">
        <f>중첩신고!H83</f>
        <v>8.9666666666666668</v>
      </c>
      <c r="O6" s="414">
        <f>중첩신고!H90</f>
        <v>5.9333333333333336</v>
      </c>
      <c r="P6" s="414">
        <f>중첩신고!H98</f>
        <v>5.9333333333333336</v>
      </c>
      <c r="Q6" s="415" t="s">
        <v>643</v>
      </c>
      <c r="R6" s="412"/>
      <c r="S6" s="416">
        <f>중첩신고!H107</f>
        <v>5.9333333333333336</v>
      </c>
      <c r="T6" s="414">
        <f>중첩신고!H116</f>
        <v>11.866666666666667</v>
      </c>
      <c r="U6" s="414">
        <f>중첩신고!H125</f>
        <v>11.866666666666667</v>
      </c>
      <c r="V6" s="414">
        <f>중첩신고!H132</f>
        <v>5.8</v>
      </c>
      <c r="W6" s="414">
        <f>중첩신고!H139</f>
        <v>2.9</v>
      </c>
      <c r="X6" s="414" t="s">
        <v>644</v>
      </c>
      <c r="Y6" s="417"/>
    </row>
    <row r="7" spans="1:27" ht="30" customHeight="1">
      <c r="B7" s="418" t="s">
        <v>635</v>
      </c>
      <c r="C7" s="1178" t="s">
        <v>645</v>
      </c>
      <c r="D7" s="1180">
        <f t="shared" ref="D7:I7" si="2">D6/$Y$2</f>
        <v>0.16481481481481483</v>
      </c>
      <c r="E7" s="1182">
        <f t="shared" si="2"/>
        <v>0.41388888888888892</v>
      </c>
      <c r="F7" s="1169">
        <f t="shared" si="2"/>
        <v>0.41388888888888892</v>
      </c>
      <c r="G7" s="1169">
        <f t="shared" si="2"/>
        <v>0.33333333333333331</v>
      </c>
      <c r="H7" s="1169">
        <f t="shared" si="2"/>
        <v>0.16481481481481483</v>
      </c>
      <c r="I7" s="1169">
        <f t="shared" si="2"/>
        <v>8.0555555555555547E-2</v>
      </c>
      <c r="J7" s="1169"/>
      <c r="K7" s="1171"/>
      <c r="L7" s="1184">
        <f>L6/$Y$2</f>
        <v>0.16481481481481483</v>
      </c>
      <c r="M7" s="1167">
        <f>M6/$Y$2</f>
        <v>0.32962962962962966</v>
      </c>
      <c r="N7" s="1167">
        <f>N6/$Y$2</f>
        <v>0.24907407407407409</v>
      </c>
      <c r="O7" s="1167">
        <f>O6/$Y$2</f>
        <v>0.16481481481481483</v>
      </c>
      <c r="P7" s="1167">
        <f>P6/$Y$2</f>
        <v>0.16481481481481483</v>
      </c>
      <c r="Q7" s="1169"/>
      <c r="R7" s="1171"/>
      <c r="S7" s="1167">
        <f>S6/$Y$2</f>
        <v>0.16481481481481483</v>
      </c>
      <c r="T7" s="1167">
        <f>T6/$Y$2</f>
        <v>0.32962962962962966</v>
      </c>
      <c r="U7" s="1167">
        <f>U6/$Y$2</f>
        <v>0.32962962962962966</v>
      </c>
      <c r="V7" s="1167">
        <f>V6/$Y$2</f>
        <v>0.16111111111111109</v>
      </c>
      <c r="W7" s="1167">
        <f>W6/$Y$2</f>
        <v>8.0555555555555547E-2</v>
      </c>
      <c r="X7" s="1167"/>
      <c r="Y7" s="1186"/>
    </row>
    <row r="8" spans="1:27" ht="30" customHeight="1">
      <c r="B8" s="418" t="s">
        <v>636</v>
      </c>
      <c r="C8" s="1179"/>
      <c r="D8" s="1181"/>
      <c r="E8" s="1183"/>
      <c r="F8" s="1170"/>
      <c r="G8" s="1170"/>
      <c r="H8" s="1170"/>
      <c r="I8" s="1170"/>
      <c r="J8" s="1170"/>
      <c r="K8" s="1172"/>
      <c r="L8" s="1185"/>
      <c r="M8" s="1168"/>
      <c r="N8" s="1168"/>
      <c r="O8" s="1168"/>
      <c r="P8" s="1168"/>
      <c r="Q8" s="1170"/>
      <c r="R8" s="1172"/>
      <c r="S8" s="1168"/>
      <c r="T8" s="1168"/>
      <c r="U8" s="1168"/>
      <c r="V8" s="1168"/>
      <c r="W8" s="1168"/>
      <c r="X8" s="1168"/>
      <c r="Y8" s="1187"/>
    </row>
    <row r="9" spans="1:27" ht="30" customHeight="1" thickBot="1">
      <c r="B9" s="419"/>
      <c r="C9" s="420" t="s">
        <v>646</v>
      </c>
      <c r="D9" s="421">
        <f>IF(D7&lt;$D$11,$D$12,IF(D7&lt;$E$11,$E$12,IF(D7&lt;F11,F12,IF(D7&lt;G11,G12,IF(D7&gt;=H11,H12)))))</f>
        <v>3</v>
      </c>
      <c r="E9" s="422">
        <f>IF(E7&lt;$D$11,$D$13,IF(E7&lt;$E$11,$E$13,IF(E7&lt;$F$11,$F$13,IF(E7&lt;$G$11,$G$13,IF(E7&gt;=$H$11,$H$13)))))*배점기준!D3/SUM(배점기준!D3:D7)</f>
        <v>1.3333333333333333</v>
      </c>
      <c r="F9" s="422">
        <f>IF(F7&lt;$D$11,$D$13,IF(F7&lt;$E$11,$E$13,IF(F7&lt;$F$11,$F$13,IF(F7&lt;$G$11,$G$13,IF(F7&gt;=$H$11,$H$13)))))*배점기준!D4/SUM(배점기준!D3:D7)</f>
        <v>0.44444444444444448</v>
      </c>
      <c r="G9" s="422">
        <f>IF(G7&lt;$D$11,$D$13,IF(G7&lt;$E$11,$E$13,IF(G7&lt;$F$11,$F$13,IF(G7&lt;$G$11,$G$13,IF(G7&gt;=$H$11,$H$13)))))*배점기준!D5/SUM(배점기준!D3:D7)</f>
        <v>1.1111111111111112</v>
      </c>
      <c r="H9" s="422">
        <f>IF(H7&lt;$D$11,$D$13,IF(H7&lt;$E$11,$E$13,IF(H7&lt;$F$11,$F$13,IF(H7&lt;$G$11,$G$13,IF(H7&gt;=$H$11,$H$13)))))*배점기준!D6/SUM(배점기준!D3:D7)</f>
        <v>0.44444444444444448</v>
      </c>
      <c r="I9" s="422">
        <f>IF(I7&lt;$D$11,$D$13,IF(I7&lt;$E$11,$E$13,IF(I7&lt;$F$11,$F$13,IF(I7&lt;$G$11,$G$13,IF(I7&gt;=$H$11,$H$13)))))*배점기준!D7/SUM(배점기준!D3:D7)</f>
        <v>0.66666666666666663</v>
      </c>
      <c r="J9" s="422"/>
      <c r="K9" s="423">
        <f>SUM(E9:J9)</f>
        <v>4</v>
      </c>
      <c r="L9" s="424">
        <f>IF(L7&lt;$D$11,$D$14,IF(L7&lt;$E$11,$E$14,IF(L7&lt;$F$11,$F$14,IF(L7&lt;$G$11,$G$14,IF(L7&gt;=$H$11,$H$14)))))*배점기준!D3/SUM(배점기준!D3:D7)</f>
        <v>0.66666666666666663</v>
      </c>
      <c r="M9" s="422">
        <f>IF(M7&lt;$D$11,$D$14,IF(M7&lt;$E$11,$E$14,IF(M7&lt;$F$11,$F$14,IF(M7&lt;$G$11,$G$14,IF(M7&gt;=$H$11,$H$14)))))*배점기준!D4/SUM(배점기준!D3:D7)</f>
        <v>0.22222222222222224</v>
      </c>
      <c r="N9" s="422">
        <f>IF(N7&lt;$D$11,$D$14,IF(N7&lt;$E$11,$E$14,IF(N7&lt;$F$11,$F$14,IF(N7&lt;$G$11,$G$14,IF(N7&gt;=$H$11,$H$14)))))*배점기준!D5/SUM(배점기준!D3:D7)</f>
        <v>0.55555555555555558</v>
      </c>
      <c r="O9" s="422">
        <f>IF(O7&lt;$D$11,$D$14,IF(O7&lt;$E$11,$E$14,IF(O7&lt;$F$11,$F$14,IF(O7&lt;$G$11,$G$14,IF(O7&gt;=$H$11,$H$14)))))*배점기준!D6/SUM(배점기준!D3:D7)</f>
        <v>0.22222222222222224</v>
      </c>
      <c r="P9" s="422">
        <f>IF(P7&lt;$D$11,$D$14,IF(P7&lt;$E$11,$E$14,IF(P7&lt;$F$11,$F$14,IF(P7&lt;$G$11,$G$14,IF(P7&gt;=$H$11,$H$14)))))*배점기준!D7/SUM(배점기준!D3:D7)</f>
        <v>0.33333333333333331</v>
      </c>
      <c r="Q9" s="422"/>
      <c r="R9" s="423">
        <f>SUM(L9:Q9)</f>
        <v>2</v>
      </c>
      <c r="S9" s="425">
        <f>IF(S7&lt;$D$11,$D$15,IF(S7&lt;$E$11,$E$15,IF(S7&lt;$F$11,$F$15,IF(S7&lt;$G$11,$G$15,IF(S7&gt;=$H$11,$H$15)))))*배점기준!D3/SUM(배점기준!D3:D7)</f>
        <v>0.33333333333333331</v>
      </c>
      <c r="T9" s="422">
        <f>IF(T7&lt;$D$11,$D$15,IF(T7&lt;$E$11,$E$15,IF(T7&lt;$F$11,$F$15,IF(T7&lt;$G$11,$G$15,IF(T7&gt;=$H$11,$H$15)))))*배점기준!D4/SUM(배점기준!D3:D7)</f>
        <v>0.11111111111111112</v>
      </c>
      <c r="U9" s="422">
        <f>IF(U7&lt;$D$11,$D$15,IF(U7&lt;$E$11,$E$15,IF(U7&lt;$F$11,$F$15,IF(U7&lt;$G$11,$G$15,IF(U7&gt;=$H$11,$H$15)))))*배점기준!D5/SUM(배점기준!D3:D7)</f>
        <v>0.27777777777777779</v>
      </c>
      <c r="V9" s="422">
        <f>IF(V7&lt;$D$11,$D$15,IF(V7&lt;$E$11,$E$15,IF(V7&lt;$F$11,$F$15,IF(V7&lt;$G$11,$G$15,IF(V7&gt;=$H$11,$H$15)))))*배점기준!D6/SUM(배점기준!D3:D7)</f>
        <v>0.11111111111111112</v>
      </c>
      <c r="W9" s="422">
        <f>IF(W7&lt;$D$11,$D$15,IF(W7&lt;$E$11,$E$15,IF(W7&lt;$F$11,$F$15,IF(W7&lt;$G$11,$G$15,IF(W7&gt;=$H$11,$H$15)))))*배점기준!D7/SUM(배점기준!D3:D7)</f>
        <v>0.16666666666666666</v>
      </c>
      <c r="X9" s="422"/>
      <c r="Y9" s="426">
        <f>SUM(S9:X9)</f>
        <v>1</v>
      </c>
    </row>
    <row r="10" spans="1:27" ht="30" customHeight="1" thickBot="1">
      <c r="B10" s="427"/>
      <c r="C10" s="428"/>
      <c r="D10" s="429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1"/>
      <c r="T10" s="431"/>
      <c r="U10" s="431"/>
      <c r="V10" s="431"/>
      <c r="W10" s="431"/>
      <c r="X10" s="431"/>
      <c r="Y10" s="431"/>
    </row>
    <row r="11" spans="1:27" ht="33" customHeight="1">
      <c r="B11" s="1164" t="s">
        <v>647</v>
      </c>
      <c r="C11" s="432" t="s">
        <v>645</v>
      </c>
      <c r="D11" s="433">
        <v>2</v>
      </c>
      <c r="E11" s="433">
        <v>2.5</v>
      </c>
      <c r="F11" s="433">
        <v>3</v>
      </c>
      <c r="G11" s="433">
        <v>3.5</v>
      </c>
      <c r="H11" s="434">
        <v>3.5</v>
      </c>
      <c r="I11" s="435"/>
      <c r="J11" s="436"/>
      <c r="M11" s="437"/>
      <c r="N11" s="437"/>
      <c r="O11" s="437"/>
      <c r="P11" s="437"/>
      <c r="Q11" s="436"/>
      <c r="R11" s="438"/>
      <c r="S11" s="439"/>
      <c r="T11" s="439"/>
      <c r="U11" s="439"/>
      <c r="V11" s="439"/>
      <c r="W11" s="439"/>
      <c r="X11" s="439"/>
      <c r="Y11" s="439"/>
    </row>
    <row r="12" spans="1:27" ht="33" customHeight="1">
      <c r="B12" s="1165"/>
      <c r="C12" s="440" t="s">
        <v>638</v>
      </c>
      <c r="D12" s="441">
        <f>[2]배점기준!C113</f>
        <v>3</v>
      </c>
      <c r="E12" s="441">
        <f>$D$12*0.9</f>
        <v>2.7</v>
      </c>
      <c r="F12" s="441">
        <f>$D$12*0.8</f>
        <v>2.4000000000000004</v>
      </c>
      <c r="G12" s="441">
        <f>$D$12*0.7</f>
        <v>2.0999999999999996</v>
      </c>
      <c r="H12" s="442">
        <f>$D$12*0.6</f>
        <v>1.7999999999999998</v>
      </c>
      <c r="I12" s="443"/>
      <c r="J12" s="444"/>
      <c r="M12" s="444"/>
      <c r="N12" s="444"/>
      <c r="O12" s="444"/>
      <c r="P12" s="444"/>
      <c r="Q12" s="444"/>
      <c r="R12" s="444"/>
      <c r="S12" s="439"/>
      <c r="T12" s="439"/>
      <c r="U12" s="439"/>
      <c r="V12" s="439"/>
      <c r="W12" s="439"/>
      <c r="X12" s="439"/>
      <c r="Y12" s="439"/>
    </row>
    <row r="13" spans="1:27" ht="33" customHeight="1">
      <c r="B13" s="1165"/>
      <c r="C13" s="440" t="s">
        <v>648</v>
      </c>
      <c r="D13" s="441">
        <f>[2]배점기준!C114</f>
        <v>4</v>
      </c>
      <c r="E13" s="441">
        <f>$D$13*0.9</f>
        <v>3.6</v>
      </c>
      <c r="F13" s="441">
        <f>$D$13*0.8</f>
        <v>3.2</v>
      </c>
      <c r="G13" s="441">
        <f>$D$13*0.7</f>
        <v>2.8</v>
      </c>
      <c r="H13" s="442">
        <f>$D$13*0.6</f>
        <v>2.4</v>
      </c>
      <c r="I13" s="443"/>
      <c r="J13" s="444"/>
      <c r="M13" s="444"/>
      <c r="N13" s="444"/>
      <c r="O13" s="444"/>
      <c r="P13" s="444"/>
      <c r="Q13" s="444"/>
      <c r="R13" s="444"/>
      <c r="S13" s="439"/>
      <c r="T13" s="439"/>
      <c r="U13" s="439"/>
      <c r="V13" s="439"/>
      <c r="W13" s="439"/>
      <c r="X13" s="439"/>
      <c r="Y13" s="439"/>
      <c r="AA13" s="445"/>
    </row>
    <row r="14" spans="1:27" ht="33" customHeight="1">
      <c r="B14" s="1165"/>
      <c r="C14" s="440" t="s">
        <v>649</v>
      </c>
      <c r="D14" s="441">
        <f>[2]배점기준!C120</f>
        <v>2</v>
      </c>
      <c r="E14" s="441">
        <f>$D$14*0.9</f>
        <v>1.8</v>
      </c>
      <c r="F14" s="441">
        <f>$D$14*0.8</f>
        <v>1.6</v>
      </c>
      <c r="G14" s="441">
        <f>$D$14*0.7</f>
        <v>1.4</v>
      </c>
      <c r="H14" s="442">
        <f>$D$14*0.6</f>
        <v>1.2</v>
      </c>
      <c r="I14" s="443"/>
      <c r="J14" s="444"/>
      <c r="M14" s="444"/>
      <c r="N14" s="444"/>
      <c r="O14" s="444"/>
      <c r="P14" s="444"/>
      <c r="Q14" s="444"/>
      <c r="R14" s="444"/>
      <c r="S14" s="439"/>
      <c r="T14" s="439"/>
      <c r="U14" s="439"/>
      <c r="V14" s="439"/>
      <c r="W14" s="439"/>
      <c r="X14" s="439"/>
      <c r="Y14" s="439"/>
      <c r="AA14" s="445"/>
    </row>
    <row r="15" spans="1:27" ht="33" customHeight="1" thickBot="1">
      <c r="B15" s="1166"/>
      <c r="C15" s="446" t="s">
        <v>650</v>
      </c>
      <c r="D15" s="447">
        <f>[2]배점기준!C126</f>
        <v>1</v>
      </c>
      <c r="E15" s="447">
        <f>$D$15*0.9</f>
        <v>0.9</v>
      </c>
      <c r="F15" s="447">
        <f>$D$15*0.8</f>
        <v>0.8</v>
      </c>
      <c r="G15" s="447">
        <f>$D$15*0.7</f>
        <v>0.7</v>
      </c>
      <c r="H15" s="448">
        <f>$D$15*0.6</f>
        <v>0.6</v>
      </c>
      <c r="I15" s="443"/>
      <c r="J15" s="444"/>
      <c r="M15" s="444"/>
      <c r="N15" s="444"/>
      <c r="O15" s="444"/>
      <c r="P15" s="444"/>
      <c r="Q15" s="444"/>
      <c r="R15" s="444"/>
      <c r="S15" s="439"/>
      <c r="T15" s="439"/>
      <c r="U15" s="439"/>
      <c r="V15" s="439"/>
      <c r="W15" s="439"/>
      <c r="X15" s="439"/>
      <c r="Y15" s="439"/>
      <c r="AA15" s="445"/>
    </row>
    <row r="16" spans="1:27" ht="33" customHeight="1">
      <c r="B16" s="449"/>
      <c r="C16" s="45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451"/>
      <c r="AA16" s="445"/>
    </row>
    <row r="17" spans="1:15" s="390" customFormat="1" ht="20.100000000000001" customHeight="1">
      <c r="A17" s="36" t="s">
        <v>666</v>
      </c>
      <c r="B17" s="35" t="s">
        <v>710</v>
      </c>
      <c r="C17" s="389"/>
    </row>
    <row r="18" spans="1:15" s="390" customFormat="1" ht="20.100000000000001" customHeight="1">
      <c r="A18" s="36" t="s">
        <v>700</v>
      </c>
      <c r="B18" s="35" t="s">
        <v>242</v>
      </c>
      <c r="C18" s="389"/>
    </row>
    <row r="19" spans="1:15" s="390" customFormat="1" ht="20.100000000000001" customHeight="1">
      <c r="A19" s="36" t="s">
        <v>669</v>
      </c>
      <c r="B19" s="35" t="s">
        <v>212</v>
      </c>
      <c r="C19" s="389"/>
    </row>
    <row r="20" spans="1:15" s="390" customFormat="1" ht="20.100000000000001" customHeight="1">
      <c r="A20" s="36" t="s">
        <v>670</v>
      </c>
      <c r="B20" s="35" t="s">
        <v>729</v>
      </c>
      <c r="C20" s="389"/>
    </row>
    <row r="21" spans="1:15" ht="15.95" customHeight="1">
      <c r="O21" s="219"/>
    </row>
  </sheetData>
  <mergeCells count="26">
    <mergeCell ref="B4:B5"/>
    <mergeCell ref="C4:Y4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Y7:Y8"/>
    <mergeCell ref="X7:X8"/>
    <mergeCell ref="B11:B15"/>
    <mergeCell ref="T7:T8"/>
    <mergeCell ref="U7:U8"/>
    <mergeCell ref="V7:V8"/>
    <mergeCell ref="W7:W8"/>
    <mergeCell ref="O7:O8"/>
    <mergeCell ref="P7:P8"/>
    <mergeCell ref="Q7:Q8"/>
    <mergeCell ref="R7:R8"/>
    <mergeCell ref="S7:S8"/>
  </mergeCells>
  <phoneticPr fontId="2" type="noConversion"/>
  <pageMargins left="0.74803149606299213" right="0.74803149606299213" top="1.3" bottom="0.98425196850393704" header="0.51181102362204722" footer="0.51181102362204722"/>
  <pageSetup paperSize="9" scale="48" orientation="landscape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41"/>
  </sheetPr>
  <dimension ref="A1:P159"/>
  <sheetViews>
    <sheetView view="pageBreakPreview" zoomScaleNormal="70" zoomScaleSheetLayoutView="100" workbookViewId="0"/>
  </sheetViews>
  <sheetFormatPr defaultRowHeight="15.95" customHeight="1"/>
  <cols>
    <col min="1" max="1" width="3.77734375" style="207" customWidth="1"/>
    <col min="2" max="2" width="4.33203125" style="207" customWidth="1"/>
    <col min="3" max="3" width="33.5546875" style="374" customWidth="1"/>
    <col min="4" max="4" width="12.44140625" style="374" customWidth="1"/>
    <col min="5" max="5" width="12.44140625" style="207" customWidth="1"/>
    <col min="6" max="6" width="8.77734375" style="394" customWidth="1"/>
    <col min="7" max="7" width="8.77734375" style="395" customWidth="1"/>
    <col min="8" max="8" width="12.109375" style="395" customWidth="1"/>
    <col min="9" max="9" width="10.77734375" style="395" customWidth="1"/>
    <col min="10" max="10" width="15.77734375" style="395" customWidth="1"/>
    <col min="11" max="11" width="10.33203125" style="395" customWidth="1"/>
    <col min="12" max="14" width="8.44140625" style="207" customWidth="1"/>
    <col min="15" max="20" width="7.109375" style="207" customWidth="1"/>
    <col min="21" max="24" width="6" style="207" customWidth="1"/>
    <col min="25" max="25" width="5.44140625" style="207" customWidth="1"/>
    <col min="26" max="26" width="7" style="207" customWidth="1"/>
    <col min="27" max="16384" width="8.88671875" style="207"/>
  </cols>
  <sheetData>
    <row r="1" spans="1:14" s="390" customFormat="1" ht="24.95" customHeight="1">
      <c r="A1" s="375" t="s">
        <v>43</v>
      </c>
      <c r="B1" s="728"/>
      <c r="C1" s="729"/>
      <c r="D1" s="729"/>
      <c r="E1" s="728"/>
      <c r="F1" s="753"/>
      <c r="G1" s="754"/>
      <c r="H1" s="754"/>
      <c r="I1" s="754"/>
      <c r="J1" s="754"/>
      <c r="K1" s="754"/>
    </row>
    <row r="2" spans="1:14" s="390" customFormat="1" ht="15" customHeight="1">
      <c r="A2" s="727"/>
      <c r="B2" s="728"/>
      <c r="C2" s="729"/>
      <c r="D2" s="729"/>
      <c r="E2" s="728"/>
      <c r="F2" s="753"/>
      <c r="G2" s="754"/>
      <c r="H2" s="754"/>
      <c r="I2" s="754"/>
      <c r="J2" s="754"/>
      <c r="K2" s="754"/>
    </row>
    <row r="3" spans="1:14" s="390" customFormat="1" ht="24.95" customHeight="1">
      <c r="A3" s="727"/>
      <c r="B3" s="1188" t="s">
        <v>707</v>
      </c>
      <c r="C3" s="1188"/>
      <c r="D3" s="728"/>
      <c r="E3" s="753"/>
      <c r="F3" s="754"/>
      <c r="G3" s="754"/>
      <c r="H3" s="753"/>
      <c r="I3" s="754"/>
      <c r="J3" s="754"/>
      <c r="K3" s="728"/>
    </row>
    <row r="4" spans="1:14" s="390" customFormat="1" ht="15" customHeight="1">
      <c r="A4" s="727"/>
      <c r="B4" s="728"/>
      <c r="C4" s="729"/>
      <c r="D4" s="729"/>
      <c r="E4" s="728"/>
      <c r="F4" s="753"/>
      <c r="G4" s="754"/>
      <c r="H4" s="754"/>
      <c r="I4" s="754"/>
      <c r="J4" s="754"/>
      <c r="K4" s="754"/>
    </row>
    <row r="5" spans="1:14" s="376" customFormat="1" ht="24.95" customHeight="1">
      <c r="B5" s="750" t="s">
        <v>713</v>
      </c>
      <c r="C5" s="752"/>
      <c r="D5" s="752"/>
      <c r="E5" s="752"/>
      <c r="F5" s="752"/>
      <c r="G5" s="388"/>
      <c r="H5" s="388"/>
      <c r="I5" s="388"/>
      <c r="J5" s="388"/>
      <c r="K5" s="388"/>
      <c r="N5" s="749"/>
    </row>
    <row r="6" spans="1:14" s="730" customFormat="1" ht="24.95" customHeight="1">
      <c r="B6" s="1189" t="s">
        <v>192</v>
      </c>
      <c r="C6" s="1190" t="s">
        <v>31</v>
      </c>
      <c r="D6" s="1189" t="s">
        <v>44</v>
      </c>
      <c r="E6" s="1189"/>
      <c r="F6" s="1191" t="s">
        <v>240</v>
      </c>
      <c r="G6" s="1189" t="s">
        <v>50</v>
      </c>
      <c r="H6" s="1189" t="s">
        <v>241</v>
      </c>
      <c r="I6" s="1189" t="s">
        <v>45</v>
      </c>
      <c r="J6" s="1189" t="s">
        <v>46</v>
      </c>
      <c r="K6" s="377" t="s">
        <v>652</v>
      </c>
      <c r="N6" s="732"/>
    </row>
    <row r="7" spans="1:14" s="730" customFormat="1" ht="24.95" customHeight="1">
      <c r="B7" s="1189"/>
      <c r="C7" s="1190"/>
      <c r="D7" s="378" t="s">
        <v>47</v>
      </c>
      <c r="E7" s="379" t="s">
        <v>48</v>
      </c>
      <c r="F7" s="1191"/>
      <c r="G7" s="1189"/>
      <c r="H7" s="1189"/>
      <c r="I7" s="1189"/>
      <c r="J7" s="1189"/>
      <c r="K7" s="131">
        <v>44835</v>
      </c>
      <c r="N7" s="732"/>
    </row>
    <row r="8" spans="1:14" s="730" customFormat="1" ht="24.95" customHeight="1">
      <c r="B8" s="116">
        <v>1</v>
      </c>
      <c r="C8" s="61" t="s">
        <v>566</v>
      </c>
      <c r="D8" s="70">
        <v>44156</v>
      </c>
      <c r="E8" s="70">
        <v>44922</v>
      </c>
      <c r="F8" s="100">
        <f>E8-D8+1</f>
        <v>767</v>
      </c>
      <c r="G8" s="71">
        <v>395</v>
      </c>
      <c r="H8" s="100">
        <f>E8-$K$7</f>
        <v>87</v>
      </c>
      <c r="I8" s="116"/>
      <c r="J8" s="116"/>
      <c r="K8" s="116"/>
      <c r="N8" s="732"/>
    </row>
    <row r="9" spans="1:14" s="730" customFormat="1" ht="24.95" customHeight="1">
      <c r="B9" s="116">
        <v>2</v>
      </c>
      <c r="C9" s="61" t="s">
        <v>566</v>
      </c>
      <c r="D9" s="70">
        <v>44378</v>
      </c>
      <c r="E9" s="70">
        <v>44926</v>
      </c>
      <c r="F9" s="100">
        <f>E9-D9+1</f>
        <v>549</v>
      </c>
      <c r="G9" s="71">
        <v>487</v>
      </c>
      <c r="H9" s="100">
        <f>E9-$K$7</f>
        <v>91</v>
      </c>
      <c r="I9" s="116"/>
      <c r="J9" s="116"/>
      <c r="K9" s="116"/>
      <c r="N9" s="732"/>
    </row>
    <row r="10" spans="1:14" s="376" customFormat="1" ht="24.95" customHeight="1">
      <c r="B10" s="1192" t="s">
        <v>49</v>
      </c>
      <c r="C10" s="1192"/>
      <c r="D10" s="380"/>
      <c r="E10" s="381"/>
      <c r="F10" s="382"/>
      <c r="G10" s="383"/>
      <c r="H10" s="384">
        <f>SUM(H8:H9)/30</f>
        <v>5.9333333333333336</v>
      </c>
      <c r="I10" s="368"/>
      <c r="J10" s="748"/>
      <c r="K10" s="385"/>
      <c r="N10" s="749"/>
    </row>
    <row r="11" spans="1:14" s="730" customFormat="1" ht="24.95" customHeight="1">
      <c r="B11" s="733"/>
      <c r="C11" s="734"/>
      <c r="D11" s="735"/>
      <c r="E11" s="736"/>
      <c r="F11" s="737"/>
      <c r="G11" s="738"/>
      <c r="H11" s="738"/>
      <c r="I11" s="733"/>
      <c r="J11" s="733"/>
      <c r="K11" s="733"/>
      <c r="N11" s="732"/>
    </row>
    <row r="12" spans="1:14" s="730" customFormat="1" ht="24.95" customHeight="1">
      <c r="B12" s="1193" t="s">
        <v>708</v>
      </c>
      <c r="C12" s="1193"/>
      <c r="D12" s="736"/>
      <c r="E12" s="737"/>
      <c r="F12" s="738"/>
      <c r="G12" s="738"/>
      <c r="H12" s="737"/>
      <c r="I12" s="733"/>
      <c r="J12" s="733"/>
      <c r="M12" s="732"/>
    </row>
    <row r="13" spans="1:14" s="730" customFormat="1" ht="15" customHeight="1">
      <c r="B13" s="733"/>
      <c r="C13" s="735"/>
      <c r="D13" s="735"/>
      <c r="E13" s="736"/>
      <c r="F13" s="737"/>
      <c r="G13" s="738"/>
      <c r="H13" s="738"/>
      <c r="I13" s="733"/>
      <c r="J13" s="733"/>
      <c r="K13" s="733"/>
      <c r="N13" s="732"/>
    </row>
    <row r="14" spans="1:14" s="376" customFormat="1" ht="24.95" customHeight="1">
      <c r="B14" s="750" t="s">
        <v>717</v>
      </c>
      <c r="C14" s="752"/>
      <c r="D14" s="752"/>
      <c r="E14" s="752"/>
      <c r="F14" s="387"/>
      <c r="G14" s="388"/>
      <c r="H14" s="388"/>
      <c r="I14" s="388"/>
      <c r="J14" s="388"/>
      <c r="K14" s="388"/>
      <c r="N14" s="749"/>
    </row>
    <row r="15" spans="1:14" s="730" customFormat="1" ht="24.95" customHeight="1">
      <c r="B15" s="1189" t="s">
        <v>192</v>
      </c>
      <c r="C15" s="1190" t="s">
        <v>31</v>
      </c>
      <c r="D15" s="1189" t="s">
        <v>44</v>
      </c>
      <c r="E15" s="1189"/>
      <c r="F15" s="1191" t="s">
        <v>240</v>
      </c>
      <c r="G15" s="1189" t="s">
        <v>50</v>
      </c>
      <c r="H15" s="1189" t="s">
        <v>241</v>
      </c>
      <c r="I15" s="1189" t="s">
        <v>45</v>
      </c>
      <c r="J15" s="1189" t="s">
        <v>46</v>
      </c>
      <c r="K15" s="377" t="s">
        <v>652</v>
      </c>
      <c r="N15" s="732"/>
    </row>
    <row r="16" spans="1:14" s="730" customFormat="1" ht="24.95" customHeight="1">
      <c r="B16" s="1189"/>
      <c r="C16" s="1190"/>
      <c r="D16" s="378" t="s">
        <v>47</v>
      </c>
      <c r="E16" s="379" t="s">
        <v>48</v>
      </c>
      <c r="F16" s="1191"/>
      <c r="G16" s="1189"/>
      <c r="H16" s="1189"/>
      <c r="I16" s="1189"/>
      <c r="J16" s="1189"/>
      <c r="K16" s="131">
        <f>K7</f>
        <v>44835</v>
      </c>
      <c r="N16" s="732"/>
    </row>
    <row r="17" spans="2:14" s="730" customFormat="1" ht="24.95" customHeight="1">
      <c r="B17" s="116">
        <v>1</v>
      </c>
      <c r="C17" s="61" t="s">
        <v>567</v>
      </c>
      <c r="D17" s="70">
        <v>44156</v>
      </c>
      <c r="E17" s="70">
        <v>44922</v>
      </c>
      <c r="F17" s="100">
        <f>E17-D17+1</f>
        <v>767</v>
      </c>
      <c r="G17" s="71">
        <v>880</v>
      </c>
      <c r="H17" s="386">
        <f>(E17-$K$16)</f>
        <v>87</v>
      </c>
      <c r="I17" s="116"/>
      <c r="J17" s="116"/>
      <c r="K17" s="116"/>
      <c r="M17" s="732"/>
    </row>
    <row r="18" spans="2:14" s="730" customFormat="1" ht="24.95" customHeight="1">
      <c r="B18" s="116">
        <v>2</v>
      </c>
      <c r="C18" s="61"/>
      <c r="D18" s="70">
        <v>44378</v>
      </c>
      <c r="E18" s="70">
        <v>44926</v>
      </c>
      <c r="F18" s="100">
        <f>E18-D18+1</f>
        <v>549</v>
      </c>
      <c r="G18" s="71">
        <v>880</v>
      </c>
      <c r="H18" s="386">
        <f>(E18-$K$16)</f>
        <v>91</v>
      </c>
      <c r="I18" s="116"/>
      <c r="J18" s="116"/>
      <c r="K18" s="116"/>
      <c r="M18" s="732"/>
    </row>
    <row r="19" spans="2:14" s="730" customFormat="1" ht="24.95" customHeight="1">
      <c r="B19" s="116">
        <v>3</v>
      </c>
      <c r="C19" s="61"/>
      <c r="D19" s="70">
        <v>44156</v>
      </c>
      <c r="E19" s="70">
        <v>44922</v>
      </c>
      <c r="F19" s="100">
        <f>E19-D19+1</f>
        <v>767</v>
      </c>
      <c r="G19" s="71">
        <v>880</v>
      </c>
      <c r="H19" s="386">
        <f>(E19-$K$16)</f>
        <v>87</v>
      </c>
      <c r="I19" s="116"/>
      <c r="J19" s="116"/>
      <c r="K19" s="116"/>
      <c r="M19" s="732"/>
    </row>
    <row r="20" spans="2:14" s="730" customFormat="1" ht="24.95" customHeight="1">
      <c r="B20" s="116">
        <v>4</v>
      </c>
      <c r="C20" s="61"/>
      <c r="D20" s="70">
        <v>44378</v>
      </c>
      <c r="E20" s="70">
        <v>44926</v>
      </c>
      <c r="F20" s="100">
        <f>E20-D20+1</f>
        <v>549</v>
      </c>
      <c r="G20" s="71">
        <v>880</v>
      </c>
      <c r="H20" s="386">
        <f>(E20-$K$16)</f>
        <v>91</v>
      </c>
      <c r="I20" s="116"/>
      <c r="J20" s="116"/>
      <c r="K20" s="116"/>
      <c r="M20" s="732"/>
    </row>
    <row r="21" spans="2:14" s="730" customFormat="1" ht="24.95" customHeight="1">
      <c r="B21" s="116">
        <v>5</v>
      </c>
      <c r="C21" s="61" t="s">
        <v>567</v>
      </c>
      <c r="D21" s="70">
        <v>44378</v>
      </c>
      <c r="E21" s="70">
        <v>44926</v>
      </c>
      <c r="F21" s="100">
        <f>E21-D21+1</f>
        <v>549</v>
      </c>
      <c r="G21" s="71">
        <v>440</v>
      </c>
      <c r="H21" s="386">
        <f>(E21-$K$16)</f>
        <v>91</v>
      </c>
      <c r="I21" s="70"/>
      <c r="J21" s="116"/>
      <c r="K21" s="116"/>
      <c r="M21" s="732"/>
    </row>
    <row r="22" spans="2:14" s="376" customFormat="1" ht="24.95" customHeight="1">
      <c r="B22" s="1192" t="s">
        <v>49</v>
      </c>
      <c r="C22" s="1192"/>
      <c r="D22" s="380"/>
      <c r="E22" s="381"/>
      <c r="F22" s="382"/>
      <c r="G22" s="383"/>
      <c r="H22" s="384">
        <f>SUM(H17:H21)/30</f>
        <v>14.9</v>
      </c>
      <c r="I22" s="368"/>
      <c r="J22" s="748"/>
      <c r="K22" s="385"/>
      <c r="N22" s="749"/>
    </row>
    <row r="23" spans="2:14" s="730" customFormat="1" ht="24.95" customHeight="1">
      <c r="B23" s="740"/>
      <c r="C23" s="740"/>
      <c r="D23" s="735"/>
      <c r="E23" s="741"/>
      <c r="F23" s="742"/>
      <c r="G23" s="743"/>
      <c r="H23" s="744"/>
      <c r="I23" s="733"/>
      <c r="J23" s="726"/>
      <c r="K23" s="745"/>
      <c r="N23" s="732"/>
    </row>
    <row r="24" spans="2:14" s="376" customFormat="1" ht="24.95" customHeight="1">
      <c r="B24" s="750" t="s">
        <v>716</v>
      </c>
      <c r="C24" s="752"/>
      <c r="D24" s="752"/>
      <c r="E24" s="752"/>
      <c r="F24" s="387"/>
      <c r="G24" s="388"/>
      <c r="H24" s="388"/>
      <c r="I24" s="388"/>
      <c r="J24" s="388"/>
      <c r="K24" s="388"/>
      <c r="N24" s="749"/>
    </row>
    <row r="25" spans="2:14" s="730" customFormat="1" ht="24.95" customHeight="1">
      <c r="B25" s="1189" t="s">
        <v>15</v>
      </c>
      <c r="C25" s="1190" t="s">
        <v>16</v>
      </c>
      <c r="D25" s="1189" t="s">
        <v>44</v>
      </c>
      <c r="E25" s="1189"/>
      <c r="F25" s="1191" t="s">
        <v>240</v>
      </c>
      <c r="G25" s="1189" t="s">
        <v>50</v>
      </c>
      <c r="H25" s="1189" t="s">
        <v>241</v>
      </c>
      <c r="I25" s="1189" t="s">
        <v>45</v>
      </c>
      <c r="J25" s="1189" t="s">
        <v>46</v>
      </c>
      <c r="K25" s="377" t="s">
        <v>652</v>
      </c>
      <c r="N25" s="732"/>
    </row>
    <row r="26" spans="2:14" s="730" customFormat="1" ht="24.95" customHeight="1">
      <c r="B26" s="1189"/>
      <c r="C26" s="1190"/>
      <c r="D26" s="378" t="s">
        <v>47</v>
      </c>
      <c r="E26" s="379" t="s">
        <v>48</v>
      </c>
      <c r="F26" s="1191"/>
      <c r="G26" s="1189"/>
      <c r="H26" s="1189"/>
      <c r="I26" s="1189"/>
      <c r="J26" s="1189"/>
      <c r="K26" s="131">
        <f>K16</f>
        <v>44835</v>
      </c>
      <c r="N26" s="732"/>
    </row>
    <row r="27" spans="2:14" s="730" customFormat="1" ht="24.95" customHeight="1">
      <c r="B27" s="116">
        <v>1</v>
      </c>
      <c r="C27" s="61" t="s">
        <v>567</v>
      </c>
      <c r="D27" s="70">
        <v>44156</v>
      </c>
      <c r="E27" s="70">
        <v>44922</v>
      </c>
      <c r="F27" s="100">
        <f>E27-D27+1</f>
        <v>767</v>
      </c>
      <c r="G27" s="71">
        <v>991</v>
      </c>
      <c r="H27" s="386">
        <f>(E27-$K$16)</f>
        <v>87</v>
      </c>
      <c r="I27" s="116"/>
      <c r="J27" s="116"/>
      <c r="K27" s="116"/>
      <c r="N27" s="732"/>
    </row>
    <row r="28" spans="2:14" s="730" customFormat="1" ht="24.95" customHeight="1">
      <c r="B28" s="116">
        <v>2</v>
      </c>
      <c r="C28" s="61" t="s">
        <v>567</v>
      </c>
      <c r="D28" s="70">
        <v>44378</v>
      </c>
      <c r="E28" s="70">
        <v>44926</v>
      </c>
      <c r="F28" s="100">
        <f>E28-D28+1</f>
        <v>549</v>
      </c>
      <c r="G28" s="71">
        <v>602</v>
      </c>
      <c r="H28" s="386">
        <f>(E28-$K$16)</f>
        <v>91</v>
      </c>
      <c r="I28" s="116"/>
      <c r="J28" s="116"/>
      <c r="K28" s="116"/>
      <c r="N28" s="732"/>
    </row>
    <row r="29" spans="2:14" s="730" customFormat="1" ht="24.95" customHeight="1">
      <c r="B29" s="116">
        <v>3</v>
      </c>
      <c r="C29" s="61" t="s">
        <v>566</v>
      </c>
      <c r="D29" s="70">
        <v>44156</v>
      </c>
      <c r="E29" s="70">
        <v>44922</v>
      </c>
      <c r="F29" s="100">
        <f>E29-D29+1</f>
        <v>767</v>
      </c>
      <c r="G29" s="71">
        <v>807</v>
      </c>
      <c r="H29" s="386">
        <f>(E29-$K$16)</f>
        <v>87</v>
      </c>
      <c r="I29" s="116"/>
      <c r="J29" s="116"/>
      <c r="K29" s="116"/>
      <c r="N29" s="732"/>
    </row>
    <row r="30" spans="2:14" s="730" customFormat="1" ht="24.95" customHeight="1">
      <c r="B30" s="116">
        <v>4</v>
      </c>
      <c r="C30" s="61" t="s">
        <v>567</v>
      </c>
      <c r="D30" s="70">
        <v>44378</v>
      </c>
      <c r="E30" s="70">
        <v>44926</v>
      </c>
      <c r="F30" s="100">
        <f>E30-D30+1</f>
        <v>549</v>
      </c>
      <c r="G30" s="71">
        <v>807</v>
      </c>
      <c r="H30" s="386">
        <f>(E30-$K$16)</f>
        <v>91</v>
      </c>
      <c r="I30" s="116"/>
      <c r="J30" s="116"/>
      <c r="K30" s="116"/>
      <c r="N30" s="732"/>
    </row>
    <row r="31" spans="2:14" s="730" customFormat="1" ht="24.95" customHeight="1">
      <c r="B31" s="116">
        <v>5</v>
      </c>
      <c r="C31" s="61" t="s">
        <v>567</v>
      </c>
      <c r="D31" s="70">
        <v>44378</v>
      </c>
      <c r="E31" s="70">
        <v>44926</v>
      </c>
      <c r="F31" s="100">
        <f>E31-D31+1</f>
        <v>549</v>
      </c>
      <c r="G31" s="71">
        <v>481</v>
      </c>
      <c r="H31" s="386">
        <f>(E31-$K$16)</f>
        <v>91</v>
      </c>
      <c r="I31" s="70"/>
      <c r="J31" s="116"/>
      <c r="K31" s="116"/>
      <c r="N31" s="732"/>
    </row>
    <row r="32" spans="2:14" s="376" customFormat="1" ht="24.95" customHeight="1">
      <c r="B32" s="1192" t="s">
        <v>49</v>
      </c>
      <c r="C32" s="1192"/>
      <c r="D32" s="380"/>
      <c r="E32" s="381"/>
      <c r="F32" s="382"/>
      <c r="G32" s="383"/>
      <c r="H32" s="384">
        <f>SUM(H27:H31)/30</f>
        <v>14.9</v>
      </c>
      <c r="I32" s="368"/>
      <c r="J32" s="748"/>
      <c r="K32" s="385"/>
      <c r="N32" s="749"/>
    </row>
    <row r="33" spans="2:16" s="730" customFormat="1" ht="24.95" customHeight="1">
      <c r="B33" s="733"/>
      <c r="C33" s="735"/>
      <c r="D33" s="735"/>
      <c r="E33" s="736"/>
      <c r="F33" s="737"/>
      <c r="G33" s="738"/>
      <c r="H33" s="738"/>
      <c r="I33" s="733"/>
      <c r="J33" s="733"/>
      <c r="K33" s="733"/>
      <c r="N33" s="732"/>
    </row>
    <row r="34" spans="2:16" s="376" customFormat="1" ht="24.95" customHeight="1">
      <c r="B34" s="750" t="s">
        <v>715</v>
      </c>
      <c r="C34" s="750"/>
      <c r="D34" s="750"/>
      <c r="E34" s="750"/>
      <c r="F34" s="387"/>
      <c r="G34" s="388"/>
      <c r="H34" s="388"/>
      <c r="I34" s="388"/>
      <c r="J34" s="388"/>
      <c r="K34" s="388"/>
      <c r="N34" s="749"/>
    </row>
    <row r="35" spans="2:16" s="730" customFormat="1" ht="24.95" customHeight="1">
      <c r="B35" s="1189" t="s">
        <v>192</v>
      </c>
      <c r="C35" s="1190" t="s">
        <v>31</v>
      </c>
      <c r="D35" s="1189" t="s">
        <v>44</v>
      </c>
      <c r="E35" s="1189"/>
      <c r="F35" s="1191" t="s">
        <v>240</v>
      </c>
      <c r="G35" s="1189" t="s">
        <v>50</v>
      </c>
      <c r="H35" s="1189" t="s">
        <v>241</v>
      </c>
      <c r="I35" s="1189" t="s">
        <v>45</v>
      </c>
      <c r="J35" s="1189" t="s">
        <v>46</v>
      </c>
      <c r="K35" s="377" t="s">
        <v>653</v>
      </c>
      <c r="N35" s="732"/>
    </row>
    <row r="36" spans="2:16" s="730" customFormat="1" ht="24.95" customHeight="1">
      <c r="B36" s="1189"/>
      <c r="C36" s="1190"/>
      <c r="D36" s="378" t="s">
        <v>47</v>
      </c>
      <c r="E36" s="379" t="s">
        <v>48</v>
      </c>
      <c r="F36" s="1191"/>
      <c r="G36" s="1189"/>
      <c r="H36" s="1189"/>
      <c r="I36" s="1189"/>
      <c r="J36" s="1189"/>
      <c r="K36" s="131">
        <f>K16</f>
        <v>44835</v>
      </c>
      <c r="N36" s="732"/>
    </row>
    <row r="37" spans="2:16" s="730" customFormat="1" ht="24.95" customHeight="1">
      <c r="B37" s="116">
        <v>1</v>
      </c>
      <c r="C37" s="61" t="s">
        <v>566</v>
      </c>
      <c r="D37" s="70">
        <v>44378</v>
      </c>
      <c r="E37" s="70">
        <v>44926</v>
      </c>
      <c r="F37" s="100">
        <f t="shared" ref="F37:F42" si="0">E37-D37+1</f>
        <v>549</v>
      </c>
      <c r="G37" s="71">
        <v>487</v>
      </c>
      <c r="H37" s="100">
        <f>(E37-$K$16)</f>
        <v>91</v>
      </c>
      <c r="I37" s="116"/>
      <c r="J37" s="116"/>
      <c r="K37" s="116"/>
      <c r="N37" s="732"/>
    </row>
    <row r="38" spans="2:16" s="730" customFormat="1" ht="24.95" customHeight="1">
      <c r="B38" s="116">
        <v>2</v>
      </c>
      <c r="C38" s="61" t="s">
        <v>566</v>
      </c>
      <c r="D38" s="70">
        <v>44156</v>
      </c>
      <c r="E38" s="70">
        <v>44922</v>
      </c>
      <c r="F38" s="100">
        <f t="shared" si="0"/>
        <v>767</v>
      </c>
      <c r="G38" s="71">
        <v>232</v>
      </c>
      <c r="H38" s="100">
        <f>(E38-$K$16)</f>
        <v>87</v>
      </c>
      <c r="I38" s="116"/>
      <c r="J38" s="116"/>
      <c r="K38" s="116"/>
      <c r="N38" s="732"/>
    </row>
    <row r="39" spans="2:16" s="730" customFormat="1" ht="24.95" customHeight="1">
      <c r="B39" s="116">
        <v>3</v>
      </c>
      <c r="C39" s="61" t="s">
        <v>567</v>
      </c>
      <c r="D39" s="70">
        <v>44378</v>
      </c>
      <c r="E39" s="70">
        <v>44926</v>
      </c>
      <c r="F39" s="100">
        <f t="shared" si="0"/>
        <v>549</v>
      </c>
      <c r="G39" s="71">
        <v>357</v>
      </c>
      <c r="H39" s="100">
        <f>(E39-$K$16)</f>
        <v>91</v>
      </c>
      <c r="I39" s="116"/>
      <c r="J39" s="116"/>
      <c r="K39" s="116"/>
      <c r="N39" s="732"/>
    </row>
    <row r="40" spans="2:16" s="730" customFormat="1" ht="24.95" customHeight="1">
      <c r="B40" s="116">
        <v>4</v>
      </c>
      <c r="C40" s="61" t="s">
        <v>567</v>
      </c>
      <c r="D40" s="70">
        <v>44378</v>
      </c>
      <c r="E40" s="70">
        <v>44926</v>
      </c>
      <c r="F40" s="100">
        <f t="shared" si="0"/>
        <v>549</v>
      </c>
      <c r="G40" s="71">
        <v>203</v>
      </c>
      <c r="H40" s="100">
        <f>(E40-$K$16)</f>
        <v>91</v>
      </c>
      <c r="I40" s="116"/>
      <c r="J40" s="116"/>
      <c r="K40" s="116"/>
      <c r="N40" s="732"/>
    </row>
    <row r="41" spans="2:16" s="730" customFormat="1" ht="24.95" customHeight="1">
      <c r="B41" s="116">
        <v>5</v>
      </c>
      <c r="C41" s="61" t="s">
        <v>566</v>
      </c>
      <c r="D41" s="70">
        <v>41800</v>
      </c>
      <c r="E41" s="70">
        <v>42519</v>
      </c>
      <c r="F41" s="100">
        <f t="shared" si="0"/>
        <v>720</v>
      </c>
      <c r="G41" s="71">
        <v>950</v>
      </c>
      <c r="H41" s="100" t="s">
        <v>550</v>
      </c>
      <c r="I41" s="148">
        <v>42180</v>
      </c>
      <c r="J41" s="116"/>
      <c r="K41" s="116"/>
      <c r="N41" s="732"/>
    </row>
    <row r="42" spans="2:16" s="730" customFormat="1" ht="24.95" customHeight="1">
      <c r="B42" s="116">
        <v>6</v>
      </c>
      <c r="C42" s="61" t="s">
        <v>567</v>
      </c>
      <c r="D42" s="70">
        <v>41893</v>
      </c>
      <c r="E42" s="70">
        <v>42432</v>
      </c>
      <c r="F42" s="100">
        <f t="shared" si="0"/>
        <v>540</v>
      </c>
      <c r="G42" s="71">
        <v>358</v>
      </c>
      <c r="H42" s="100" t="s">
        <v>551</v>
      </c>
      <c r="I42" s="148">
        <v>42178</v>
      </c>
      <c r="J42" s="116"/>
      <c r="K42" s="116"/>
      <c r="N42" s="732"/>
    </row>
    <row r="43" spans="2:16" s="376" customFormat="1" ht="24.95" customHeight="1">
      <c r="B43" s="1192" t="s">
        <v>49</v>
      </c>
      <c r="C43" s="1192"/>
      <c r="D43" s="380"/>
      <c r="E43" s="381"/>
      <c r="F43" s="382"/>
      <c r="G43" s="383"/>
      <c r="H43" s="384">
        <f>SUM(H37:H42)/30</f>
        <v>12</v>
      </c>
      <c r="I43" s="368"/>
      <c r="J43" s="748"/>
      <c r="K43" s="385"/>
      <c r="N43" s="749"/>
      <c r="P43" s="751"/>
    </row>
    <row r="44" spans="2:16" s="730" customFormat="1" ht="24.95" customHeight="1">
      <c r="B44" s="746"/>
      <c r="C44" s="734"/>
      <c r="D44" s="735"/>
      <c r="E44" s="736"/>
      <c r="F44" s="737"/>
      <c r="G44" s="738"/>
      <c r="H44" s="738"/>
      <c r="I44" s="733"/>
      <c r="J44" s="733"/>
      <c r="K44" s="733"/>
      <c r="N44" s="732"/>
    </row>
    <row r="45" spans="2:16" s="376" customFormat="1" ht="24.95" customHeight="1">
      <c r="B45" s="750" t="s">
        <v>714</v>
      </c>
      <c r="C45" s="750"/>
      <c r="D45" s="750"/>
      <c r="E45" s="750"/>
      <c r="F45" s="387"/>
      <c r="G45" s="388"/>
      <c r="H45" s="388"/>
      <c r="I45" s="388"/>
      <c r="J45" s="388"/>
      <c r="K45" s="388"/>
      <c r="N45" s="749"/>
    </row>
    <row r="46" spans="2:16" s="730" customFormat="1" ht="24.95" customHeight="1">
      <c r="B46" s="1189" t="s">
        <v>192</v>
      </c>
      <c r="C46" s="1190" t="s">
        <v>31</v>
      </c>
      <c r="D46" s="1189" t="s">
        <v>44</v>
      </c>
      <c r="E46" s="1189"/>
      <c r="F46" s="1191" t="s">
        <v>240</v>
      </c>
      <c r="G46" s="1189" t="s">
        <v>50</v>
      </c>
      <c r="H46" s="1189" t="s">
        <v>241</v>
      </c>
      <c r="I46" s="1189" t="s">
        <v>45</v>
      </c>
      <c r="J46" s="1189" t="s">
        <v>46</v>
      </c>
      <c r="K46" s="377" t="s">
        <v>654</v>
      </c>
      <c r="N46" s="732"/>
    </row>
    <row r="47" spans="2:16" s="730" customFormat="1" ht="24.95" customHeight="1">
      <c r="B47" s="1189"/>
      <c r="C47" s="1190"/>
      <c r="D47" s="378" t="s">
        <v>47</v>
      </c>
      <c r="E47" s="379" t="s">
        <v>48</v>
      </c>
      <c r="F47" s="1191"/>
      <c r="G47" s="1189"/>
      <c r="H47" s="1189"/>
      <c r="I47" s="1189"/>
      <c r="J47" s="1189"/>
      <c r="K47" s="131">
        <f>K16</f>
        <v>44835</v>
      </c>
      <c r="N47" s="732"/>
    </row>
    <row r="48" spans="2:16" s="730" customFormat="1" ht="24.95" customHeight="1">
      <c r="B48" s="116">
        <v>1</v>
      </c>
      <c r="C48" s="61" t="s">
        <v>566</v>
      </c>
      <c r="D48" s="70">
        <v>44378</v>
      </c>
      <c r="E48" s="70">
        <v>44926</v>
      </c>
      <c r="F48" s="100">
        <f>E48-D48+1</f>
        <v>549</v>
      </c>
      <c r="G48" s="71">
        <v>581</v>
      </c>
      <c r="H48" s="100">
        <f>(E48-$K$16)</f>
        <v>91</v>
      </c>
      <c r="I48" s="148"/>
      <c r="J48" s="116"/>
      <c r="K48" s="116"/>
      <c r="N48" s="732"/>
    </row>
    <row r="49" spans="2:14" s="730" customFormat="1" ht="24.95" customHeight="1">
      <c r="B49" s="116">
        <v>2</v>
      </c>
      <c r="C49" s="61" t="s">
        <v>566</v>
      </c>
      <c r="D49" s="70">
        <v>44156</v>
      </c>
      <c r="E49" s="70">
        <v>44922</v>
      </c>
      <c r="F49" s="100">
        <f>E49-D49+1</f>
        <v>767</v>
      </c>
      <c r="G49" s="71">
        <v>650</v>
      </c>
      <c r="H49" s="100">
        <f>(E49-$K$16)</f>
        <v>87</v>
      </c>
      <c r="I49" s="70"/>
      <c r="J49" s="116"/>
      <c r="K49" s="116"/>
      <c r="N49" s="732"/>
    </row>
    <row r="50" spans="2:14" s="376" customFormat="1" ht="24.95" customHeight="1">
      <c r="B50" s="1192" t="s">
        <v>49</v>
      </c>
      <c r="C50" s="1192"/>
      <c r="D50" s="380"/>
      <c r="E50" s="381"/>
      <c r="F50" s="382"/>
      <c r="G50" s="383"/>
      <c r="H50" s="384">
        <f>SUM(H48:H49)/30</f>
        <v>5.9333333333333336</v>
      </c>
      <c r="I50" s="368"/>
      <c r="J50" s="748"/>
      <c r="K50" s="385"/>
      <c r="N50" s="749"/>
    </row>
    <row r="51" spans="2:14" s="730" customFormat="1" ht="24.95" customHeight="1">
      <c r="B51" s="746"/>
      <c r="C51" s="734"/>
      <c r="D51" s="735"/>
      <c r="E51" s="736"/>
      <c r="F51" s="737"/>
      <c r="G51" s="738"/>
      <c r="H51" s="738"/>
      <c r="I51" s="733"/>
      <c r="J51" s="733"/>
      <c r="K51" s="733"/>
      <c r="N51" s="732"/>
    </row>
    <row r="52" spans="2:14" s="376" customFormat="1" ht="24.95" customHeight="1">
      <c r="B52" s="750" t="s">
        <v>718</v>
      </c>
      <c r="C52" s="750"/>
      <c r="D52" s="750"/>
      <c r="E52" s="750"/>
      <c r="F52" s="387"/>
      <c r="G52" s="388"/>
      <c r="H52" s="388"/>
      <c r="I52" s="388"/>
      <c r="J52" s="388"/>
      <c r="K52" s="388"/>
      <c r="N52" s="749"/>
    </row>
    <row r="53" spans="2:14" s="730" customFormat="1" ht="24.95" customHeight="1">
      <c r="B53" s="1189" t="s">
        <v>192</v>
      </c>
      <c r="C53" s="1190" t="s">
        <v>31</v>
      </c>
      <c r="D53" s="1189" t="s">
        <v>44</v>
      </c>
      <c r="E53" s="1189"/>
      <c r="F53" s="1191" t="s">
        <v>240</v>
      </c>
      <c r="G53" s="1189" t="s">
        <v>50</v>
      </c>
      <c r="H53" s="1189" t="s">
        <v>241</v>
      </c>
      <c r="I53" s="1189" t="s">
        <v>45</v>
      </c>
      <c r="J53" s="1189" t="s">
        <v>46</v>
      </c>
      <c r="K53" s="377" t="s">
        <v>655</v>
      </c>
      <c r="N53" s="732"/>
    </row>
    <row r="54" spans="2:14" s="730" customFormat="1" ht="24.95" customHeight="1">
      <c r="B54" s="1189"/>
      <c r="C54" s="1190"/>
      <c r="D54" s="378" t="s">
        <v>47</v>
      </c>
      <c r="E54" s="379" t="s">
        <v>48</v>
      </c>
      <c r="F54" s="1191"/>
      <c r="G54" s="1189"/>
      <c r="H54" s="1189"/>
      <c r="I54" s="1189"/>
      <c r="J54" s="1189"/>
      <c r="K54" s="131">
        <f>K7</f>
        <v>44835</v>
      </c>
      <c r="N54" s="732"/>
    </row>
    <row r="55" spans="2:14" s="730" customFormat="1" ht="24.95" customHeight="1">
      <c r="B55" s="116">
        <v>1</v>
      </c>
      <c r="C55" s="61" t="s">
        <v>567</v>
      </c>
      <c r="D55" s="70">
        <v>44378</v>
      </c>
      <c r="E55" s="70">
        <v>44926</v>
      </c>
      <c r="F55" s="100">
        <f>E55-D55+1</f>
        <v>549</v>
      </c>
      <c r="G55" s="71">
        <v>754</v>
      </c>
      <c r="H55" s="147" t="s">
        <v>550</v>
      </c>
      <c r="I55" s="148">
        <v>44561</v>
      </c>
      <c r="J55" s="116" t="s">
        <v>549</v>
      </c>
      <c r="K55" s="116"/>
      <c r="N55" s="732"/>
    </row>
    <row r="56" spans="2:14" s="730" customFormat="1" ht="24.95" customHeight="1">
      <c r="B56" s="116">
        <v>2</v>
      </c>
      <c r="C56" s="61" t="s">
        <v>567</v>
      </c>
      <c r="D56" s="70">
        <v>44156</v>
      </c>
      <c r="E56" s="70">
        <v>44922</v>
      </c>
      <c r="F56" s="100">
        <f>E56-D56+1</f>
        <v>767</v>
      </c>
      <c r="G56" s="71">
        <v>867</v>
      </c>
      <c r="H56" s="147">
        <f>(E56-$K$16)</f>
        <v>87</v>
      </c>
      <c r="I56" s="148"/>
      <c r="J56" s="116"/>
      <c r="K56" s="116"/>
      <c r="N56" s="732"/>
    </row>
    <row r="57" spans="2:14" s="376" customFormat="1" ht="24.95" customHeight="1">
      <c r="B57" s="1192" t="s">
        <v>49</v>
      </c>
      <c r="C57" s="1192"/>
      <c r="D57" s="380"/>
      <c r="E57" s="381"/>
      <c r="F57" s="382"/>
      <c r="G57" s="383"/>
      <c r="H57" s="384">
        <f>SUM(H55:H56)/30</f>
        <v>2.9</v>
      </c>
      <c r="I57" s="368"/>
      <c r="J57" s="748"/>
      <c r="K57" s="385"/>
      <c r="N57" s="749"/>
    </row>
    <row r="58" spans="2:14" s="730" customFormat="1" ht="24.95" customHeight="1">
      <c r="B58" s="746"/>
      <c r="C58" s="734"/>
      <c r="D58" s="735"/>
      <c r="E58" s="736"/>
      <c r="F58" s="737"/>
      <c r="G58" s="738"/>
      <c r="H58" s="738"/>
      <c r="I58" s="733"/>
      <c r="J58" s="733"/>
      <c r="K58" s="733"/>
      <c r="N58" s="732"/>
    </row>
    <row r="59" spans="2:14" s="730" customFormat="1" ht="24.95" customHeight="1">
      <c r="B59" s="1193" t="s">
        <v>709</v>
      </c>
      <c r="C59" s="1193"/>
      <c r="D59" s="736"/>
      <c r="E59" s="737"/>
      <c r="F59" s="738"/>
      <c r="G59" s="738"/>
      <c r="H59" s="737"/>
      <c r="I59" s="733"/>
      <c r="J59" s="733"/>
      <c r="M59" s="732"/>
    </row>
    <row r="60" spans="2:14" s="730" customFormat="1" ht="15" customHeight="1">
      <c r="B60" s="733"/>
      <c r="C60" s="735"/>
      <c r="D60" s="735"/>
      <c r="E60" s="736"/>
      <c r="F60" s="737"/>
      <c r="G60" s="738"/>
      <c r="H60" s="738"/>
      <c r="I60" s="733"/>
      <c r="J60" s="733"/>
      <c r="K60" s="733"/>
      <c r="N60" s="732"/>
    </row>
    <row r="61" spans="2:14" s="376" customFormat="1" ht="24.95" customHeight="1">
      <c r="B61" s="750" t="s">
        <v>719</v>
      </c>
      <c r="C61" s="752"/>
      <c r="D61" s="752"/>
      <c r="E61" s="752"/>
      <c r="F61" s="387"/>
      <c r="G61" s="388"/>
      <c r="H61" s="388"/>
      <c r="I61" s="388"/>
      <c r="J61" s="388"/>
      <c r="K61" s="388"/>
      <c r="N61" s="749"/>
    </row>
    <row r="62" spans="2:14" s="730" customFormat="1" ht="24.95" customHeight="1">
      <c r="B62" s="1189" t="s">
        <v>175</v>
      </c>
      <c r="C62" s="1190" t="s">
        <v>31</v>
      </c>
      <c r="D62" s="1189" t="s">
        <v>44</v>
      </c>
      <c r="E62" s="1189"/>
      <c r="F62" s="1191" t="s">
        <v>240</v>
      </c>
      <c r="G62" s="1189" t="s">
        <v>50</v>
      </c>
      <c r="H62" s="1189" t="s">
        <v>241</v>
      </c>
      <c r="I62" s="1189" t="s">
        <v>45</v>
      </c>
      <c r="J62" s="1189" t="s">
        <v>46</v>
      </c>
      <c r="K62" s="377" t="s">
        <v>652</v>
      </c>
      <c r="N62" s="732"/>
    </row>
    <row r="63" spans="2:14" s="730" customFormat="1" ht="24.95" customHeight="1">
      <c r="B63" s="1189"/>
      <c r="C63" s="1190"/>
      <c r="D63" s="378" t="s">
        <v>47</v>
      </c>
      <c r="E63" s="379" t="s">
        <v>48</v>
      </c>
      <c r="F63" s="1191"/>
      <c r="G63" s="1189"/>
      <c r="H63" s="1189"/>
      <c r="I63" s="1189"/>
      <c r="J63" s="1189"/>
      <c r="K63" s="131">
        <f>K54</f>
        <v>44835</v>
      </c>
      <c r="N63" s="732"/>
    </row>
    <row r="64" spans="2:14" s="730" customFormat="1" ht="24.95" customHeight="1">
      <c r="B64" s="116">
        <v>1</v>
      </c>
      <c r="C64" s="61" t="s">
        <v>567</v>
      </c>
      <c r="D64" s="70">
        <v>44378</v>
      </c>
      <c r="E64" s="70">
        <v>44926</v>
      </c>
      <c r="F64" s="100">
        <f>E64-D64+1</f>
        <v>549</v>
      </c>
      <c r="G64" s="71">
        <v>880</v>
      </c>
      <c r="H64" s="386">
        <f>(E64-$K$16)</f>
        <v>91</v>
      </c>
      <c r="I64" s="116"/>
      <c r="J64" s="116"/>
      <c r="K64" s="116"/>
      <c r="M64" s="732"/>
    </row>
    <row r="65" spans="2:14" s="730" customFormat="1" ht="24.95" customHeight="1">
      <c r="B65" s="116">
        <v>2</v>
      </c>
      <c r="C65" s="61" t="s">
        <v>567</v>
      </c>
      <c r="D65" s="70">
        <v>44156</v>
      </c>
      <c r="E65" s="70">
        <v>44922</v>
      </c>
      <c r="F65" s="100">
        <f>E65-D65+1</f>
        <v>767</v>
      </c>
      <c r="G65" s="71">
        <v>440</v>
      </c>
      <c r="H65" s="386">
        <f>(E65-$K$16)</f>
        <v>87</v>
      </c>
      <c r="I65" s="70"/>
      <c r="J65" s="116"/>
      <c r="K65" s="116"/>
      <c r="M65" s="732"/>
    </row>
    <row r="66" spans="2:14" s="376" customFormat="1" ht="24.95" customHeight="1">
      <c r="B66" s="1192" t="s">
        <v>49</v>
      </c>
      <c r="C66" s="1192"/>
      <c r="D66" s="380"/>
      <c r="E66" s="381"/>
      <c r="F66" s="382"/>
      <c r="G66" s="383"/>
      <c r="H66" s="384">
        <f>SUM(H64:H65)/30</f>
        <v>5.9333333333333336</v>
      </c>
      <c r="I66" s="368"/>
      <c r="J66" s="748"/>
      <c r="K66" s="385"/>
      <c r="N66" s="749"/>
    </row>
    <row r="67" spans="2:14" s="730" customFormat="1" ht="24.95" customHeight="1">
      <c r="B67" s="740"/>
      <c r="C67" s="740"/>
      <c r="D67" s="735"/>
      <c r="E67" s="741"/>
      <c r="F67" s="742"/>
      <c r="G67" s="743"/>
      <c r="H67" s="744"/>
      <c r="I67" s="733"/>
      <c r="J67" s="726"/>
      <c r="K67" s="745"/>
      <c r="N67" s="732"/>
    </row>
    <row r="68" spans="2:14" s="376" customFormat="1" ht="24.95" customHeight="1">
      <c r="B68" s="750" t="s">
        <v>720</v>
      </c>
      <c r="C68" s="752"/>
      <c r="D68" s="752"/>
      <c r="E68" s="752"/>
      <c r="F68" s="387"/>
      <c r="G68" s="388"/>
      <c r="H68" s="388"/>
      <c r="I68" s="388"/>
      <c r="J68" s="388"/>
      <c r="K68" s="388"/>
      <c r="N68" s="749"/>
    </row>
    <row r="69" spans="2:14" s="730" customFormat="1" ht="24.95" customHeight="1">
      <c r="B69" s="1189" t="s">
        <v>15</v>
      </c>
      <c r="C69" s="1190" t="s">
        <v>16</v>
      </c>
      <c r="D69" s="1189" t="s">
        <v>44</v>
      </c>
      <c r="E69" s="1189"/>
      <c r="F69" s="1191" t="s">
        <v>240</v>
      </c>
      <c r="G69" s="1189" t="s">
        <v>50</v>
      </c>
      <c r="H69" s="1189" t="s">
        <v>241</v>
      </c>
      <c r="I69" s="1189" t="s">
        <v>45</v>
      </c>
      <c r="J69" s="1189" t="s">
        <v>46</v>
      </c>
      <c r="K69" s="377" t="s">
        <v>655</v>
      </c>
      <c r="N69" s="732"/>
    </row>
    <row r="70" spans="2:14" s="730" customFormat="1" ht="24.95" customHeight="1">
      <c r="B70" s="1189"/>
      <c r="C70" s="1190"/>
      <c r="D70" s="378" t="s">
        <v>47</v>
      </c>
      <c r="E70" s="379" t="s">
        <v>48</v>
      </c>
      <c r="F70" s="1191"/>
      <c r="G70" s="1189"/>
      <c r="H70" s="1189"/>
      <c r="I70" s="1189"/>
      <c r="J70" s="1189"/>
      <c r="K70" s="131">
        <f>K63</f>
        <v>44835</v>
      </c>
      <c r="N70" s="732"/>
    </row>
    <row r="71" spans="2:14" s="730" customFormat="1" ht="24.95" customHeight="1">
      <c r="B71" s="116">
        <v>1</v>
      </c>
      <c r="C71" s="61" t="s">
        <v>567</v>
      </c>
      <c r="D71" s="70">
        <v>44378</v>
      </c>
      <c r="E71" s="70">
        <v>44926</v>
      </c>
      <c r="F71" s="100">
        <f>E71-D71+1</f>
        <v>549</v>
      </c>
      <c r="G71" s="71">
        <v>991</v>
      </c>
      <c r="H71" s="386">
        <f>(E71-$K$16)</f>
        <v>91</v>
      </c>
      <c r="I71" s="116"/>
      <c r="J71" s="116"/>
      <c r="K71" s="116"/>
      <c r="N71" s="732"/>
    </row>
    <row r="72" spans="2:14" s="730" customFormat="1" ht="24.95" customHeight="1">
      <c r="B72" s="116">
        <v>2</v>
      </c>
      <c r="C72" s="61" t="s">
        <v>567</v>
      </c>
      <c r="D72" s="70">
        <v>44156</v>
      </c>
      <c r="E72" s="70">
        <v>44922</v>
      </c>
      <c r="F72" s="100">
        <f>E72-D72+1</f>
        <v>767</v>
      </c>
      <c r="G72" s="71">
        <v>602</v>
      </c>
      <c r="H72" s="386">
        <f>(E72-$K$16)</f>
        <v>87</v>
      </c>
      <c r="I72" s="116"/>
      <c r="J72" s="116"/>
      <c r="K72" s="116"/>
      <c r="N72" s="732"/>
    </row>
    <row r="73" spans="2:14" s="730" customFormat="1" ht="24.95" customHeight="1">
      <c r="B73" s="116">
        <v>3</v>
      </c>
      <c r="C73" s="61" t="s">
        <v>567</v>
      </c>
      <c r="D73" s="70">
        <v>44378</v>
      </c>
      <c r="E73" s="70">
        <v>44926</v>
      </c>
      <c r="F73" s="100">
        <f>E73-D73+1</f>
        <v>549</v>
      </c>
      <c r="G73" s="71">
        <v>807</v>
      </c>
      <c r="H73" s="386">
        <f>(E73-$K$16)</f>
        <v>91</v>
      </c>
      <c r="I73" s="116"/>
      <c r="J73" s="116"/>
      <c r="K73" s="116"/>
      <c r="N73" s="732"/>
    </row>
    <row r="74" spans="2:14" s="730" customFormat="1" ht="24.95" customHeight="1">
      <c r="B74" s="116">
        <v>4</v>
      </c>
      <c r="C74" s="61" t="s">
        <v>567</v>
      </c>
      <c r="D74" s="70">
        <v>44156</v>
      </c>
      <c r="E74" s="70">
        <v>44922</v>
      </c>
      <c r="F74" s="100">
        <f>E74-D74+1</f>
        <v>767</v>
      </c>
      <c r="G74" s="71">
        <v>481</v>
      </c>
      <c r="H74" s="386">
        <f>(E74-$K$16)</f>
        <v>87</v>
      </c>
      <c r="I74" s="70"/>
      <c r="J74" s="116"/>
      <c r="K74" s="116"/>
      <c r="N74" s="732"/>
    </row>
    <row r="75" spans="2:14" s="376" customFormat="1" ht="24.95" customHeight="1">
      <c r="B75" s="1192" t="s">
        <v>49</v>
      </c>
      <c r="C75" s="1192"/>
      <c r="D75" s="380"/>
      <c r="E75" s="381"/>
      <c r="F75" s="382"/>
      <c r="G75" s="383"/>
      <c r="H75" s="384">
        <f>SUM(H71:H74)/30</f>
        <v>11.866666666666667</v>
      </c>
      <c r="I75" s="368"/>
      <c r="J75" s="748"/>
      <c r="K75" s="385"/>
      <c r="N75" s="749"/>
    </row>
    <row r="76" spans="2:14" s="730" customFormat="1" ht="24.95" customHeight="1">
      <c r="B76" s="733"/>
      <c r="C76" s="735"/>
      <c r="D76" s="735"/>
      <c r="E76" s="736"/>
      <c r="F76" s="737"/>
      <c r="G76" s="738"/>
      <c r="H76" s="738"/>
      <c r="I76" s="733"/>
      <c r="J76" s="733"/>
      <c r="K76" s="733"/>
      <c r="N76" s="732"/>
    </row>
    <row r="77" spans="2:14" s="376" customFormat="1" ht="24.95" customHeight="1">
      <c r="B77" s="750" t="s">
        <v>721</v>
      </c>
      <c r="C77" s="750"/>
      <c r="D77" s="750"/>
      <c r="E77" s="750"/>
      <c r="F77" s="387"/>
      <c r="G77" s="388"/>
      <c r="H77" s="388"/>
      <c r="I77" s="388"/>
      <c r="J77" s="388"/>
      <c r="K77" s="388"/>
      <c r="N77" s="749"/>
    </row>
    <row r="78" spans="2:14" s="730" customFormat="1" ht="24.95" customHeight="1">
      <c r="B78" s="1189" t="s">
        <v>175</v>
      </c>
      <c r="C78" s="1190" t="s">
        <v>31</v>
      </c>
      <c r="D78" s="1189" t="s">
        <v>44</v>
      </c>
      <c r="E78" s="1189"/>
      <c r="F78" s="1191" t="s">
        <v>240</v>
      </c>
      <c r="G78" s="1189" t="s">
        <v>50</v>
      </c>
      <c r="H78" s="1189" t="s">
        <v>241</v>
      </c>
      <c r="I78" s="1189" t="s">
        <v>45</v>
      </c>
      <c r="J78" s="1189" t="s">
        <v>46</v>
      </c>
      <c r="K78" s="377" t="s">
        <v>652</v>
      </c>
      <c r="N78" s="732"/>
    </row>
    <row r="79" spans="2:14" s="730" customFormat="1" ht="24.95" customHeight="1">
      <c r="B79" s="1189"/>
      <c r="C79" s="1190"/>
      <c r="D79" s="378" t="s">
        <v>47</v>
      </c>
      <c r="E79" s="379" t="s">
        <v>48</v>
      </c>
      <c r="F79" s="1191"/>
      <c r="G79" s="1189"/>
      <c r="H79" s="1189"/>
      <c r="I79" s="1189"/>
      <c r="J79" s="1189"/>
      <c r="K79" s="131">
        <f>K63</f>
        <v>44835</v>
      </c>
      <c r="N79" s="732"/>
    </row>
    <row r="80" spans="2:14" s="730" customFormat="1" ht="24.95" customHeight="1">
      <c r="B80" s="116">
        <v>1</v>
      </c>
      <c r="C80" s="61" t="s">
        <v>566</v>
      </c>
      <c r="D80" s="70">
        <v>44378</v>
      </c>
      <c r="E80" s="70">
        <v>44926</v>
      </c>
      <c r="F80" s="100">
        <f t="shared" ref="F80:F82" si="1">E80-D80+1</f>
        <v>549</v>
      </c>
      <c r="G80" s="71">
        <v>487</v>
      </c>
      <c r="H80" s="100">
        <f>(E80-$K$16)</f>
        <v>91</v>
      </c>
      <c r="I80" s="116"/>
      <c r="J80" s="116"/>
      <c r="K80" s="116"/>
      <c r="N80" s="732"/>
    </row>
    <row r="81" spans="2:16" s="730" customFormat="1" ht="24.95" customHeight="1">
      <c r="B81" s="116">
        <v>2</v>
      </c>
      <c r="C81" s="61" t="s">
        <v>566</v>
      </c>
      <c r="D81" s="70">
        <v>44378</v>
      </c>
      <c r="E81" s="70">
        <v>44926</v>
      </c>
      <c r="F81" s="100">
        <f t="shared" si="1"/>
        <v>549</v>
      </c>
      <c r="G81" s="71">
        <v>232</v>
      </c>
      <c r="H81" s="100">
        <f>(E81-$K$16)</f>
        <v>91</v>
      </c>
      <c r="I81" s="116"/>
      <c r="J81" s="116"/>
      <c r="K81" s="116"/>
      <c r="N81" s="732"/>
    </row>
    <row r="82" spans="2:16" s="730" customFormat="1" ht="24.95" customHeight="1">
      <c r="B82" s="116">
        <v>3</v>
      </c>
      <c r="C82" s="61" t="s">
        <v>567</v>
      </c>
      <c r="D82" s="70">
        <v>44156</v>
      </c>
      <c r="E82" s="70">
        <v>44922</v>
      </c>
      <c r="F82" s="100">
        <f t="shared" si="1"/>
        <v>767</v>
      </c>
      <c r="G82" s="71">
        <v>357</v>
      </c>
      <c r="H82" s="100">
        <f>(E82-$K$16)</f>
        <v>87</v>
      </c>
      <c r="I82" s="116"/>
      <c r="J82" s="116"/>
      <c r="K82" s="116"/>
      <c r="N82" s="732"/>
    </row>
    <row r="83" spans="2:16" s="376" customFormat="1" ht="24.95" customHeight="1">
      <c r="B83" s="1192" t="s">
        <v>49</v>
      </c>
      <c r="C83" s="1192"/>
      <c r="D83" s="380"/>
      <c r="E83" s="381"/>
      <c r="F83" s="382"/>
      <c r="G83" s="383"/>
      <c r="H83" s="384">
        <f>SUM(H80:H82)/30</f>
        <v>8.9666666666666668</v>
      </c>
      <c r="I83" s="368"/>
      <c r="J83" s="748"/>
      <c r="K83" s="385"/>
      <c r="N83" s="749"/>
      <c r="P83" s="751"/>
    </row>
    <row r="84" spans="2:16" s="730" customFormat="1" ht="24.95" customHeight="1">
      <c r="B84" s="746"/>
      <c r="C84" s="734"/>
      <c r="D84" s="735"/>
      <c r="E84" s="736"/>
      <c r="F84" s="737"/>
      <c r="G84" s="738"/>
      <c r="H84" s="738"/>
      <c r="I84" s="733"/>
      <c r="J84" s="733"/>
      <c r="K84" s="733"/>
      <c r="N84" s="732"/>
    </row>
    <row r="85" spans="2:16" s="376" customFormat="1" ht="24.95" customHeight="1">
      <c r="B85" s="750" t="s">
        <v>722</v>
      </c>
      <c r="C85" s="750"/>
      <c r="D85" s="750"/>
      <c r="E85" s="750"/>
      <c r="F85" s="387"/>
      <c r="G85" s="388"/>
      <c r="H85" s="388"/>
      <c r="I85" s="388"/>
      <c r="J85" s="388"/>
      <c r="K85" s="388"/>
      <c r="N85" s="749"/>
    </row>
    <row r="86" spans="2:16" s="730" customFormat="1" ht="24.95" customHeight="1">
      <c r="B86" s="1189" t="s">
        <v>175</v>
      </c>
      <c r="C86" s="1190" t="s">
        <v>31</v>
      </c>
      <c r="D86" s="1189" t="s">
        <v>44</v>
      </c>
      <c r="E86" s="1189"/>
      <c r="F86" s="1191" t="s">
        <v>240</v>
      </c>
      <c r="G86" s="1189" t="s">
        <v>50</v>
      </c>
      <c r="H86" s="1189" t="s">
        <v>241</v>
      </c>
      <c r="I86" s="1189" t="s">
        <v>45</v>
      </c>
      <c r="J86" s="1189" t="s">
        <v>46</v>
      </c>
      <c r="K86" s="377" t="s">
        <v>652</v>
      </c>
      <c r="N86" s="732"/>
    </row>
    <row r="87" spans="2:16" s="730" customFormat="1" ht="24.95" customHeight="1">
      <c r="B87" s="1189"/>
      <c r="C87" s="1190"/>
      <c r="D87" s="378" t="s">
        <v>47</v>
      </c>
      <c r="E87" s="379" t="s">
        <v>48</v>
      </c>
      <c r="F87" s="1191"/>
      <c r="G87" s="1189"/>
      <c r="H87" s="1189"/>
      <c r="I87" s="1189"/>
      <c r="J87" s="1189"/>
      <c r="K87" s="131">
        <f>K63</f>
        <v>44835</v>
      </c>
      <c r="N87" s="732"/>
    </row>
    <row r="88" spans="2:16" s="730" customFormat="1" ht="24.95" customHeight="1">
      <c r="B88" s="116">
        <v>1</v>
      </c>
      <c r="C88" s="61" t="s">
        <v>566</v>
      </c>
      <c r="D88" s="70">
        <v>44378</v>
      </c>
      <c r="E88" s="70">
        <v>44926</v>
      </c>
      <c r="F88" s="100">
        <f>E88-D88+1</f>
        <v>549</v>
      </c>
      <c r="G88" s="71">
        <v>581</v>
      </c>
      <c r="H88" s="100">
        <f>(E88-$K$16)</f>
        <v>91</v>
      </c>
      <c r="I88" s="148"/>
      <c r="J88" s="116"/>
      <c r="K88" s="116"/>
      <c r="N88" s="732"/>
    </row>
    <row r="89" spans="2:16" s="730" customFormat="1" ht="24.95" customHeight="1">
      <c r="B89" s="116">
        <v>2</v>
      </c>
      <c r="C89" s="61" t="s">
        <v>566</v>
      </c>
      <c r="D89" s="70">
        <v>44156</v>
      </c>
      <c r="E89" s="70">
        <v>44922</v>
      </c>
      <c r="F89" s="100">
        <f>E89-D89+1</f>
        <v>767</v>
      </c>
      <c r="G89" s="71">
        <v>650</v>
      </c>
      <c r="H89" s="100">
        <f>(E89-$K$16)</f>
        <v>87</v>
      </c>
      <c r="I89" s="70"/>
      <c r="J89" s="116"/>
      <c r="K89" s="116"/>
      <c r="N89" s="732"/>
    </row>
    <row r="90" spans="2:16" s="376" customFormat="1" ht="24.95" customHeight="1">
      <c r="B90" s="1192" t="s">
        <v>49</v>
      </c>
      <c r="C90" s="1192"/>
      <c r="D90" s="380"/>
      <c r="E90" s="381"/>
      <c r="F90" s="382"/>
      <c r="G90" s="383"/>
      <c r="H90" s="384">
        <f>SUM(H88:H89)/30</f>
        <v>5.9333333333333336</v>
      </c>
      <c r="I90" s="368"/>
      <c r="J90" s="748"/>
      <c r="K90" s="385"/>
      <c r="N90" s="749"/>
    </row>
    <row r="91" spans="2:16" s="730" customFormat="1" ht="24.95" customHeight="1">
      <c r="B91" s="746"/>
      <c r="C91" s="734"/>
      <c r="D91" s="735"/>
      <c r="E91" s="736"/>
      <c r="F91" s="737"/>
      <c r="G91" s="738"/>
      <c r="H91" s="738"/>
      <c r="I91" s="733"/>
      <c r="J91" s="733"/>
      <c r="K91" s="733"/>
      <c r="N91" s="732"/>
    </row>
    <row r="92" spans="2:16" s="376" customFormat="1" ht="24.95" customHeight="1">
      <c r="B92" s="750" t="s">
        <v>723</v>
      </c>
      <c r="C92" s="750"/>
      <c r="D92" s="750"/>
      <c r="E92" s="750"/>
      <c r="F92" s="387"/>
      <c r="G92" s="388"/>
      <c r="H92" s="388"/>
      <c r="I92" s="388"/>
      <c r="J92" s="388"/>
      <c r="K92" s="388"/>
      <c r="N92" s="749"/>
    </row>
    <row r="93" spans="2:16" s="730" customFormat="1" ht="24.95" customHeight="1">
      <c r="B93" s="1189" t="s">
        <v>175</v>
      </c>
      <c r="C93" s="1190" t="s">
        <v>31</v>
      </c>
      <c r="D93" s="1189" t="s">
        <v>44</v>
      </c>
      <c r="E93" s="1189"/>
      <c r="F93" s="1191" t="s">
        <v>240</v>
      </c>
      <c r="G93" s="1189" t="s">
        <v>50</v>
      </c>
      <c r="H93" s="1189" t="s">
        <v>241</v>
      </c>
      <c r="I93" s="1189" t="s">
        <v>45</v>
      </c>
      <c r="J93" s="1189" t="s">
        <v>46</v>
      </c>
      <c r="K93" s="377" t="s">
        <v>656</v>
      </c>
      <c r="N93" s="732"/>
    </row>
    <row r="94" spans="2:16" s="730" customFormat="1" ht="24.95" customHeight="1">
      <c r="B94" s="1189"/>
      <c r="C94" s="1190"/>
      <c r="D94" s="378" t="s">
        <v>47</v>
      </c>
      <c r="E94" s="379" t="s">
        <v>48</v>
      </c>
      <c r="F94" s="1191"/>
      <c r="G94" s="1189"/>
      <c r="H94" s="1189"/>
      <c r="I94" s="1189"/>
      <c r="J94" s="1189"/>
      <c r="K94" s="131">
        <f>K54</f>
        <v>44835</v>
      </c>
      <c r="N94" s="732"/>
    </row>
    <row r="95" spans="2:16" s="730" customFormat="1" ht="24.95" customHeight="1">
      <c r="B95" s="116">
        <v>1</v>
      </c>
      <c r="C95" s="61" t="s">
        <v>567</v>
      </c>
      <c r="D95" s="70">
        <v>44378</v>
      </c>
      <c r="E95" s="70">
        <v>44926</v>
      </c>
      <c r="F95" s="100">
        <f>E95-D95+1</f>
        <v>549</v>
      </c>
      <c r="G95" s="71">
        <v>754</v>
      </c>
      <c r="H95" s="147" t="s">
        <v>550</v>
      </c>
      <c r="I95" s="148">
        <v>44561</v>
      </c>
      <c r="J95" s="116" t="s">
        <v>549</v>
      </c>
      <c r="K95" s="116"/>
      <c r="N95" s="732"/>
    </row>
    <row r="96" spans="2:16" s="730" customFormat="1" ht="24.95" customHeight="1">
      <c r="B96" s="116">
        <v>2</v>
      </c>
      <c r="C96" s="61" t="s">
        <v>566</v>
      </c>
      <c r="D96" s="70">
        <v>44378</v>
      </c>
      <c r="E96" s="70">
        <v>44926</v>
      </c>
      <c r="F96" s="100">
        <f>E96-D96+1</f>
        <v>549</v>
      </c>
      <c r="G96" s="71">
        <v>581</v>
      </c>
      <c r="H96" s="100">
        <f>(E96-$K$16)</f>
        <v>91</v>
      </c>
      <c r="I96" s="148"/>
      <c r="J96" s="116"/>
      <c r="K96" s="116"/>
      <c r="N96" s="732"/>
    </row>
    <row r="97" spans="2:14" s="730" customFormat="1" ht="24.95" customHeight="1">
      <c r="B97" s="116">
        <v>3</v>
      </c>
      <c r="C97" s="61" t="s">
        <v>567</v>
      </c>
      <c r="D97" s="70">
        <v>44156</v>
      </c>
      <c r="E97" s="70">
        <v>44922</v>
      </c>
      <c r="F97" s="100">
        <f>E97-D97+1</f>
        <v>767</v>
      </c>
      <c r="G97" s="71">
        <v>867</v>
      </c>
      <c r="H97" s="147">
        <f>(E97-$K$16)</f>
        <v>87</v>
      </c>
      <c r="I97" s="148"/>
      <c r="J97" s="116"/>
      <c r="K97" s="116"/>
      <c r="N97" s="732"/>
    </row>
    <row r="98" spans="2:14" s="376" customFormat="1" ht="24.95" customHeight="1">
      <c r="B98" s="1192" t="s">
        <v>49</v>
      </c>
      <c r="C98" s="1192"/>
      <c r="D98" s="380"/>
      <c r="E98" s="381"/>
      <c r="F98" s="382"/>
      <c r="G98" s="383"/>
      <c r="H98" s="384">
        <f>SUM(H95:H97)/30</f>
        <v>5.9333333333333336</v>
      </c>
      <c r="I98" s="368"/>
      <c r="J98" s="748"/>
      <c r="K98" s="385"/>
      <c r="N98" s="749"/>
    </row>
    <row r="99" spans="2:14" s="730" customFormat="1" ht="24.95" customHeight="1">
      <c r="B99" s="746"/>
      <c r="C99" s="734"/>
      <c r="D99" s="735"/>
      <c r="E99" s="736"/>
      <c r="F99" s="737"/>
      <c r="G99" s="738"/>
      <c r="H99" s="738"/>
      <c r="I99" s="733"/>
      <c r="J99" s="733"/>
      <c r="K99" s="733"/>
      <c r="N99" s="732"/>
    </row>
    <row r="100" spans="2:14" s="730" customFormat="1" ht="24.95" customHeight="1">
      <c r="B100" s="1193" t="s">
        <v>651</v>
      </c>
      <c r="C100" s="1193"/>
      <c r="D100" s="736"/>
      <c r="E100" s="737"/>
      <c r="F100" s="738"/>
      <c r="G100" s="738"/>
      <c r="H100" s="737"/>
      <c r="I100" s="733"/>
      <c r="J100" s="733"/>
      <c r="M100" s="732"/>
    </row>
    <row r="101" spans="2:14" s="730" customFormat="1" ht="15" customHeight="1">
      <c r="B101" s="733"/>
      <c r="C101" s="735"/>
      <c r="D101" s="735"/>
      <c r="E101" s="736"/>
      <c r="F101" s="737"/>
      <c r="G101" s="738"/>
      <c r="H101" s="738"/>
      <c r="I101" s="733"/>
      <c r="J101" s="733"/>
      <c r="K101" s="733"/>
      <c r="N101" s="732"/>
    </row>
    <row r="102" spans="2:14" s="376" customFormat="1" ht="24.95" customHeight="1">
      <c r="B102" s="750" t="s">
        <v>724</v>
      </c>
      <c r="C102" s="752"/>
      <c r="D102" s="752"/>
      <c r="E102" s="752"/>
      <c r="F102" s="387"/>
      <c r="G102" s="388"/>
      <c r="H102" s="388"/>
      <c r="I102" s="388"/>
      <c r="J102" s="388"/>
      <c r="K102" s="388"/>
      <c r="N102" s="749"/>
    </row>
    <row r="103" spans="2:14" s="730" customFormat="1" ht="24.95" customHeight="1">
      <c r="B103" s="1189" t="s">
        <v>175</v>
      </c>
      <c r="C103" s="1190" t="s">
        <v>31</v>
      </c>
      <c r="D103" s="1189" t="s">
        <v>44</v>
      </c>
      <c r="E103" s="1189"/>
      <c r="F103" s="1191" t="s">
        <v>240</v>
      </c>
      <c r="G103" s="1189" t="s">
        <v>50</v>
      </c>
      <c r="H103" s="1189" t="s">
        <v>241</v>
      </c>
      <c r="I103" s="1189" t="s">
        <v>45</v>
      </c>
      <c r="J103" s="1189" t="s">
        <v>46</v>
      </c>
      <c r="K103" s="377" t="s">
        <v>656</v>
      </c>
      <c r="N103" s="732"/>
    </row>
    <row r="104" spans="2:14" s="730" customFormat="1" ht="24.95" customHeight="1">
      <c r="B104" s="1189"/>
      <c r="C104" s="1190"/>
      <c r="D104" s="378" t="s">
        <v>47</v>
      </c>
      <c r="E104" s="379" t="s">
        <v>48</v>
      </c>
      <c r="F104" s="1191"/>
      <c r="G104" s="1189"/>
      <c r="H104" s="1189"/>
      <c r="I104" s="1189"/>
      <c r="J104" s="1189"/>
      <c r="K104" s="131">
        <f>K94</f>
        <v>44835</v>
      </c>
      <c r="N104" s="732"/>
    </row>
    <row r="105" spans="2:14" s="730" customFormat="1" ht="24.95" customHeight="1">
      <c r="B105" s="116">
        <v>1</v>
      </c>
      <c r="C105" s="61" t="s">
        <v>567</v>
      </c>
      <c r="D105" s="70">
        <v>44378</v>
      </c>
      <c r="E105" s="70">
        <v>44926</v>
      </c>
      <c r="F105" s="100">
        <f>E105-D105+1</f>
        <v>549</v>
      </c>
      <c r="G105" s="71">
        <v>880</v>
      </c>
      <c r="H105" s="386">
        <f>(E105-$K$16)</f>
        <v>91</v>
      </c>
      <c r="I105" s="116"/>
      <c r="J105" s="116"/>
      <c r="K105" s="116"/>
      <c r="M105" s="732"/>
    </row>
    <row r="106" spans="2:14" s="730" customFormat="1" ht="24.95" customHeight="1">
      <c r="B106" s="116">
        <v>2</v>
      </c>
      <c r="C106" s="61" t="s">
        <v>567</v>
      </c>
      <c r="D106" s="70">
        <v>44156</v>
      </c>
      <c r="E106" s="70">
        <v>44922</v>
      </c>
      <c r="F106" s="100">
        <f>E106-D106+1</f>
        <v>767</v>
      </c>
      <c r="G106" s="71">
        <v>440</v>
      </c>
      <c r="H106" s="386">
        <f>(E106-$K$16)</f>
        <v>87</v>
      </c>
      <c r="I106" s="70"/>
      <c r="J106" s="116"/>
      <c r="K106" s="116"/>
      <c r="M106" s="732"/>
    </row>
    <row r="107" spans="2:14" s="376" customFormat="1" ht="24.95" customHeight="1">
      <c r="B107" s="1192" t="s">
        <v>49</v>
      </c>
      <c r="C107" s="1192"/>
      <c r="D107" s="380"/>
      <c r="E107" s="381"/>
      <c r="F107" s="382"/>
      <c r="G107" s="383"/>
      <c r="H107" s="384">
        <f>SUM(H105:H106)/30</f>
        <v>5.9333333333333336</v>
      </c>
      <c r="I107" s="368"/>
      <c r="J107" s="748"/>
      <c r="K107" s="385"/>
      <c r="N107" s="749"/>
    </row>
    <row r="108" spans="2:14" s="730" customFormat="1" ht="24.95" customHeight="1">
      <c r="B108" s="746"/>
      <c r="C108" s="734"/>
      <c r="D108" s="735"/>
      <c r="E108" s="736"/>
      <c r="F108" s="737"/>
      <c r="G108" s="738"/>
      <c r="H108" s="738"/>
      <c r="I108" s="733"/>
      <c r="J108" s="733"/>
      <c r="K108" s="733"/>
      <c r="N108" s="732"/>
    </row>
    <row r="109" spans="2:14" s="376" customFormat="1" ht="24.95" customHeight="1">
      <c r="B109" s="750" t="s">
        <v>725</v>
      </c>
      <c r="C109" s="752"/>
      <c r="D109" s="752"/>
      <c r="E109" s="752"/>
      <c r="F109" s="387"/>
      <c r="G109" s="388"/>
      <c r="H109" s="388"/>
      <c r="I109" s="388"/>
      <c r="J109" s="388"/>
      <c r="K109" s="388"/>
      <c r="N109" s="749"/>
    </row>
    <row r="110" spans="2:14" s="730" customFormat="1" ht="24.95" customHeight="1">
      <c r="B110" s="1189" t="s">
        <v>15</v>
      </c>
      <c r="C110" s="1190" t="s">
        <v>16</v>
      </c>
      <c r="D110" s="1189" t="s">
        <v>44</v>
      </c>
      <c r="E110" s="1189"/>
      <c r="F110" s="1191" t="s">
        <v>240</v>
      </c>
      <c r="G110" s="1189" t="s">
        <v>50</v>
      </c>
      <c r="H110" s="1189" t="s">
        <v>241</v>
      </c>
      <c r="I110" s="1189" t="s">
        <v>45</v>
      </c>
      <c r="J110" s="1189" t="s">
        <v>46</v>
      </c>
      <c r="K110" s="377" t="s">
        <v>652</v>
      </c>
      <c r="N110" s="732"/>
    </row>
    <row r="111" spans="2:14" s="730" customFormat="1" ht="24.95" customHeight="1">
      <c r="B111" s="1189"/>
      <c r="C111" s="1190"/>
      <c r="D111" s="378" t="s">
        <v>47</v>
      </c>
      <c r="E111" s="379" t="s">
        <v>48</v>
      </c>
      <c r="F111" s="1191"/>
      <c r="G111" s="1189"/>
      <c r="H111" s="1189"/>
      <c r="I111" s="1189"/>
      <c r="J111" s="1189"/>
      <c r="K111" s="131">
        <f>K104</f>
        <v>44835</v>
      </c>
      <c r="N111" s="732"/>
    </row>
    <row r="112" spans="2:14" s="730" customFormat="1" ht="24.95" customHeight="1">
      <c r="B112" s="116">
        <v>1</v>
      </c>
      <c r="C112" s="61" t="s">
        <v>567</v>
      </c>
      <c r="D112" s="70">
        <v>44378</v>
      </c>
      <c r="E112" s="70">
        <v>44926</v>
      </c>
      <c r="F112" s="100">
        <f>E112-D112+1</f>
        <v>549</v>
      </c>
      <c r="G112" s="71">
        <v>991</v>
      </c>
      <c r="H112" s="386">
        <f>(E112-$K$16)</f>
        <v>91</v>
      </c>
      <c r="I112" s="116"/>
      <c r="J112" s="116"/>
      <c r="K112" s="116"/>
      <c r="N112" s="732"/>
    </row>
    <row r="113" spans="2:16" s="730" customFormat="1" ht="24.95" customHeight="1">
      <c r="B113" s="116">
        <v>2</v>
      </c>
      <c r="C113" s="61" t="s">
        <v>567</v>
      </c>
      <c r="D113" s="70">
        <v>44378</v>
      </c>
      <c r="E113" s="70">
        <v>44926</v>
      </c>
      <c r="F113" s="100">
        <f>E113-D113+1</f>
        <v>549</v>
      </c>
      <c r="G113" s="71">
        <v>602</v>
      </c>
      <c r="H113" s="386">
        <f>(E113-$K$16)</f>
        <v>91</v>
      </c>
      <c r="I113" s="116"/>
      <c r="J113" s="116"/>
      <c r="K113" s="116"/>
      <c r="N113" s="732"/>
    </row>
    <row r="114" spans="2:16" s="730" customFormat="1" ht="24.95" customHeight="1">
      <c r="B114" s="116">
        <v>3</v>
      </c>
      <c r="C114" s="61" t="s">
        <v>567</v>
      </c>
      <c r="D114" s="70">
        <v>44156</v>
      </c>
      <c r="E114" s="70">
        <v>44922</v>
      </c>
      <c r="F114" s="100">
        <f>E114-D114+1</f>
        <v>767</v>
      </c>
      <c r="G114" s="71">
        <v>807</v>
      </c>
      <c r="H114" s="386">
        <f>(E114-$K$16)</f>
        <v>87</v>
      </c>
      <c r="I114" s="116"/>
      <c r="J114" s="116"/>
      <c r="K114" s="116"/>
      <c r="N114" s="732"/>
    </row>
    <row r="115" spans="2:16" s="730" customFormat="1" ht="24.95" customHeight="1">
      <c r="B115" s="116">
        <v>4</v>
      </c>
      <c r="C115" s="61" t="s">
        <v>567</v>
      </c>
      <c r="D115" s="70">
        <v>44156</v>
      </c>
      <c r="E115" s="70">
        <v>44922</v>
      </c>
      <c r="F115" s="100">
        <f>E115-D115+1</f>
        <v>767</v>
      </c>
      <c r="G115" s="71">
        <v>481</v>
      </c>
      <c r="H115" s="386">
        <f>(E115-$K$16)</f>
        <v>87</v>
      </c>
      <c r="I115" s="70"/>
      <c r="J115" s="116"/>
      <c r="K115" s="116"/>
      <c r="N115" s="732"/>
    </row>
    <row r="116" spans="2:16" s="376" customFormat="1" ht="24.95" customHeight="1">
      <c r="B116" s="1192" t="s">
        <v>49</v>
      </c>
      <c r="C116" s="1192"/>
      <c r="D116" s="380"/>
      <c r="E116" s="381"/>
      <c r="F116" s="382"/>
      <c r="G116" s="383"/>
      <c r="H116" s="384">
        <f>SUM(H112:H115)/30</f>
        <v>11.866666666666667</v>
      </c>
      <c r="I116" s="368"/>
      <c r="J116" s="748"/>
      <c r="K116" s="385"/>
      <c r="N116" s="749"/>
    </row>
    <row r="117" spans="2:16" s="730" customFormat="1" ht="24.95" customHeight="1">
      <c r="B117" s="733"/>
      <c r="C117" s="735"/>
      <c r="D117" s="735"/>
      <c r="E117" s="736"/>
      <c r="F117" s="737"/>
      <c r="G117" s="738"/>
      <c r="H117" s="738"/>
      <c r="I117" s="733"/>
      <c r="J117" s="733"/>
      <c r="K117" s="733"/>
      <c r="N117" s="732"/>
    </row>
    <row r="118" spans="2:16" s="376" customFormat="1" ht="24.95" customHeight="1">
      <c r="B118" s="750" t="s">
        <v>726</v>
      </c>
      <c r="C118" s="750"/>
      <c r="D118" s="750"/>
      <c r="E118" s="750"/>
      <c r="F118" s="387"/>
      <c r="G118" s="388"/>
      <c r="H118" s="388"/>
      <c r="I118" s="388"/>
      <c r="J118" s="388"/>
      <c r="K118" s="388"/>
      <c r="N118" s="749"/>
    </row>
    <row r="119" spans="2:16" s="730" customFormat="1" ht="24.95" customHeight="1">
      <c r="B119" s="1189" t="s">
        <v>175</v>
      </c>
      <c r="C119" s="1190" t="s">
        <v>31</v>
      </c>
      <c r="D119" s="1189" t="s">
        <v>44</v>
      </c>
      <c r="E119" s="1189"/>
      <c r="F119" s="1191" t="s">
        <v>240</v>
      </c>
      <c r="G119" s="1189" t="s">
        <v>50</v>
      </c>
      <c r="H119" s="1189" t="s">
        <v>241</v>
      </c>
      <c r="I119" s="1189" t="s">
        <v>45</v>
      </c>
      <c r="J119" s="1189" t="s">
        <v>46</v>
      </c>
      <c r="K119" s="377" t="s">
        <v>657</v>
      </c>
      <c r="N119" s="732"/>
    </row>
    <row r="120" spans="2:16" s="730" customFormat="1" ht="24.95" customHeight="1">
      <c r="B120" s="1189"/>
      <c r="C120" s="1190"/>
      <c r="D120" s="378" t="s">
        <v>47</v>
      </c>
      <c r="E120" s="379" t="s">
        <v>48</v>
      </c>
      <c r="F120" s="1191"/>
      <c r="G120" s="1189"/>
      <c r="H120" s="1189"/>
      <c r="I120" s="1189"/>
      <c r="J120" s="1189"/>
      <c r="K120" s="131">
        <f>K104</f>
        <v>44835</v>
      </c>
      <c r="N120" s="732"/>
    </row>
    <row r="121" spans="2:16" s="730" customFormat="1" ht="24.95" customHeight="1">
      <c r="B121" s="116">
        <v>1</v>
      </c>
      <c r="C121" s="61" t="s">
        <v>566</v>
      </c>
      <c r="D121" s="70">
        <v>44378</v>
      </c>
      <c r="E121" s="70">
        <v>44926</v>
      </c>
      <c r="F121" s="100">
        <f t="shared" ref="F121:F124" si="2">E121-D121+1</f>
        <v>549</v>
      </c>
      <c r="G121" s="71">
        <v>487</v>
      </c>
      <c r="H121" s="100">
        <f>(E121-$K$16)</f>
        <v>91</v>
      </c>
      <c r="I121" s="116"/>
      <c r="J121" s="116"/>
      <c r="K121" s="116"/>
      <c r="N121" s="732"/>
    </row>
    <row r="122" spans="2:16" s="730" customFormat="1" ht="24.95" customHeight="1">
      <c r="B122" s="116">
        <v>2</v>
      </c>
      <c r="C122" s="61" t="s">
        <v>566</v>
      </c>
      <c r="D122" s="70">
        <v>44378</v>
      </c>
      <c r="E122" s="70">
        <v>44926</v>
      </c>
      <c r="F122" s="100">
        <f t="shared" si="2"/>
        <v>549</v>
      </c>
      <c r="G122" s="71">
        <v>232</v>
      </c>
      <c r="H122" s="100">
        <f>(E122-$K$16)</f>
        <v>91</v>
      </c>
      <c r="I122" s="116"/>
      <c r="J122" s="116"/>
      <c r="K122" s="116"/>
      <c r="N122" s="732"/>
    </row>
    <row r="123" spans="2:16" s="730" customFormat="1" ht="24.95" customHeight="1">
      <c r="B123" s="116">
        <v>3</v>
      </c>
      <c r="C123" s="61"/>
      <c r="D123" s="70">
        <v>44156</v>
      </c>
      <c r="E123" s="70">
        <v>44922</v>
      </c>
      <c r="F123" s="100">
        <f t="shared" ref="F123" si="3">E123-D123+1</f>
        <v>767</v>
      </c>
      <c r="G123" s="71">
        <v>232</v>
      </c>
      <c r="H123" s="100">
        <f>(E123-$K$16)</f>
        <v>87</v>
      </c>
      <c r="I123" s="116"/>
      <c r="J123" s="116"/>
      <c r="K123" s="116"/>
      <c r="N123" s="732"/>
    </row>
    <row r="124" spans="2:16" s="730" customFormat="1" ht="24.95" customHeight="1">
      <c r="B124" s="116">
        <v>4</v>
      </c>
      <c r="C124" s="61" t="s">
        <v>567</v>
      </c>
      <c r="D124" s="70">
        <v>44156</v>
      </c>
      <c r="E124" s="70">
        <v>44922</v>
      </c>
      <c r="F124" s="100">
        <f t="shared" si="2"/>
        <v>767</v>
      </c>
      <c r="G124" s="71">
        <v>357</v>
      </c>
      <c r="H124" s="100">
        <f>(E124-$K$16)</f>
        <v>87</v>
      </c>
      <c r="I124" s="116"/>
      <c r="J124" s="116"/>
      <c r="K124" s="116"/>
      <c r="N124" s="732"/>
    </row>
    <row r="125" spans="2:16" s="376" customFormat="1" ht="24.95" customHeight="1">
      <c r="B125" s="1192" t="s">
        <v>49</v>
      </c>
      <c r="C125" s="1192"/>
      <c r="D125" s="380"/>
      <c r="E125" s="381"/>
      <c r="F125" s="382"/>
      <c r="G125" s="383"/>
      <c r="H125" s="384">
        <f>SUM(H121:H124)/30</f>
        <v>11.866666666666667</v>
      </c>
      <c r="I125" s="368"/>
      <c r="J125" s="748"/>
      <c r="K125" s="385"/>
      <c r="N125" s="749"/>
      <c r="P125" s="751"/>
    </row>
    <row r="126" spans="2:16" s="730" customFormat="1" ht="24.95" customHeight="1">
      <c r="B126" s="746"/>
      <c r="C126" s="734"/>
      <c r="D126" s="735"/>
      <c r="E126" s="736"/>
      <c r="F126" s="737"/>
      <c r="G126" s="738"/>
      <c r="H126" s="738"/>
      <c r="I126" s="733"/>
      <c r="J126" s="733"/>
      <c r="K126" s="733"/>
      <c r="N126" s="732"/>
    </row>
    <row r="127" spans="2:16" s="376" customFormat="1" ht="24.95" customHeight="1">
      <c r="B127" s="750" t="s">
        <v>727</v>
      </c>
      <c r="C127" s="750"/>
      <c r="D127" s="750"/>
      <c r="E127" s="750"/>
      <c r="F127" s="387"/>
      <c r="G127" s="388"/>
      <c r="H127" s="388"/>
      <c r="I127" s="388"/>
      <c r="J127" s="388"/>
      <c r="K127" s="388"/>
      <c r="N127" s="749"/>
    </row>
    <row r="128" spans="2:16" s="730" customFormat="1" ht="24.95" customHeight="1">
      <c r="B128" s="1189" t="s">
        <v>175</v>
      </c>
      <c r="C128" s="1190" t="s">
        <v>31</v>
      </c>
      <c r="D128" s="1189" t="s">
        <v>44</v>
      </c>
      <c r="E128" s="1189"/>
      <c r="F128" s="1191" t="s">
        <v>240</v>
      </c>
      <c r="G128" s="1189" t="s">
        <v>50</v>
      </c>
      <c r="H128" s="1189" t="s">
        <v>241</v>
      </c>
      <c r="I128" s="1189" t="s">
        <v>45</v>
      </c>
      <c r="J128" s="1189" t="s">
        <v>46</v>
      </c>
      <c r="K128" s="377" t="s">
        <v>652</v>
      </c>
      <c r="N128" s="732"/>
    </row>
    <row r="129" spans="2:14" s="730" customFormat="1" ht="24.95" customHeight="1">
      <c r="B129" s="1189"/>
      <c r="C129" s="1190"/>
      <c r="D129" s="378" t="s">
        <v>47</v>
      </c>
      <c r="E129" s="379" t="s">
        <v>48</v>
      </c>
      <c r="F129" s="1191"/>
      <c r="G129" s="1189"/>
      <c r="H129" s="1189"/>
      <c r="I129" s="1189"/>
      <c r="J129" s="1189"/>
      <c r="K129" s="131">
        <f>K104</f>
        <v>44835</v>
      </c>
      <c r="N129" s="732"/>
    </row>
    <row r="130" spans="2:14" s="730" customFormat="1" ht="24.95" customHeight="1">
      <c r="B130" s="116">
        <v>1</v>
      </c>
      <c r="C130" s="61" t="s">
        <v>566</v>
      </c>
      <c r="D130" s="70">
        <v>44156</v>
      </c>
      <c r="E130" s="70">
        <v>44922</v>
      </c>
      <c r="F130" s="100">
        <f>E130-D130+1</f>
        <v>767</v>
      </c>
      <c r="G130" s="71">
        <v>581</v>
      </c>
      <c r="H130" s="100">
        <f>(E130-$K$16)</f>
        <v>87</v>
      </c>
      <c r="I130" s="148"/>
      <c r="J130" s="116"/>
      <c r="K130" s="116"/>
      <c r="N130" s="732"/>
    </row>
    <row r="131" spans="2:14" s="730" customFormat="1" ht="24.95" customHeight="1">
      <c r="B131" s="116">
        <v>2</v>
      </c>
      <c r="C131" s="61" t="s">
        <v>566</v>
      </c>
      <c r="D131" s="70">
        <v>44156</v>
      </c>
      <c r="E131" s="70">
        <v>44922</v>
      </c>
      <c r="F131" s="100">
        <f>E131-D131+1</f>
        <v>767</v>
      </c>
      <c r="G131" s="71">
        <v>650</v>
      </c>
      <c r="H131" s="100">
        <f>(E131-$K$16)</f>
        <v>87</v>
      </c>
      <c r="I131" s="70"/>
      <c r="J131" s="116"/>
      <c r="K131" s="116"/>
      <c r="N131" s="732"/>
    </row>
    <row r="132" spans="2:14" s="376" customFormat="1" ht="24.95" customHeight="1">
      <c r="B132" s="1192" t="s">
        <v>49</v>
      </c>
      <c r="C132" s="1192"/>
      <c r="D132" s="380"/>
      <c r="E132" s="381"/>
      <c r="F132" s="382"/>
      <c r="G132" s="383"/>
      <c r="H132" s="384">
        <f>SUM(H130:H131)/30</f>
        <v>5.8</v>
      </c>
      <c r="I132" s="368"/>
      <c r="J132" s="748"/>
      <c r="K132" s="385"/>
      <c r="N132" s="749"/>
    </row>
    <row r="133" spans="2:14" s="730" customFormat="1" ht="24.95" customHeight="1">
      <c r="B133" s="746"/>
      <c r="C133" s="734"/>
      <c r="D133" s="735"/>
      <c r="E133" s="736"/>
      <c r="F133" s="737"/>
      <c r="G133" s="738"/>
      <c r="H133" s="738"/>
      <c r="I133" s="733"/>
      <c r="J133" s="733"/>
      <c r="K133" s="733"/>
      <c r="N133" s="732"/>
    </row>
    <row r="134" spans="2:14" s="376" customFormat="1" ht="24.95" customHeight="1">
      <c r="B134" s="750" t="s">
        <v>728</v>
      </c>
      <c r="C134" s="750"/>
      <c r="D134" s="750"/>
      <c r="E134" s="750"/>
      <c r="F134" s="387"/>
      <c r="G134" s="388"/>
      <c r="H134" s="388"/>
      <c r="I134" s="388"/>
      <c r="J134" s="388"/>
      <c r="K134" s="388"/>
      <c r="N134" s="749"/>
    </row>
    <row r="135" spans="2:14" s="730" customFormat="1" ht="24.95" customHeight="1">
      <c r="B135" s="1189" t="s">
        <v>175</v>
      </c>
      <c r="C135" s="1190" t="s">
        <v>31</v>
      </c>
      <c r="D135" s="1189" t="s">
        <v>44</v>
      </c>
      <c r="E135" s="1189"/>
      <c r="F135" s="1191" t="s">
        <v>240</v>
      </c>
      <c r="G135" s="1189" t="s">
        <v>50</v>
      </c>
      <c r="H135" s="1189" t="s">
        <v>241</v>
      </c>
      <c r="I135" s="1189" t="s">
        <v>45</v>
      </c>
      <c r="J135" s="1189" t="s">
        <v>46</v>
      </c>
      <c r="K135" s="377" t="s">
        <v>652</v>
      </c>
      <c r="N135" s="732"/>
    </row>
    <row r="136" spans="2:14" s="730" customFormat="1" ht="24.95" customHeight="1">
      <c r="B136" s="1189"/>
      <c r="C136" s="1190"/>
      <c r="D136" s="378" t="s">
        <v>47</v>
      </c>
      <c r="E136" s="379" t="s">
        <v>48</v>
      </c>
      <c r="F136" s="1191"/>
      <c r="G136" s="1189"/>
      <c r="H136" s="1189"/>
      <c r="I136" s="1189"/>
      <c r="J136" s="1189"/>
      <c r="K136" s="131">
        <f>K94</f>
        <v>44835</v>
      </c>
      <c r="N136" s="732"/>
    </row>
    <row r="137" spans="2:14" s="730" customFormat="1" ht="24.95" customHeight="1">
      <c r="B137" s="116">
        <v>1</v>
      </c>
      <c r="C137" s="61" t="s">
        <v>567</v>
      </c>
      <c r="D137" s="70">
        <v>44156</v>
      </c>
      <c r="E137" s="70">
        <v>44922</v>
      </c>
      <c r="F137" s="100">
        <f>E137-D137+1</f>
        <v>767</v>
      </c>
      <c r="G137" s="71">
        <v>754</v>
      </c>
      <c r="H137" s="147" t="s">
        <v>550</v>
      </c>
      <c r="I137" s="148">
        <v>44561</v>
      </c>
      <c r="J137" s="116" t="s">
        <v>549</v>
      </c>
      <c r="K137" s="116"/>
      <c r="N137" s="732"/>
    </row>
    <row r="138" spans="2:14" s="730" customFormat="1" ht="24.95" customHeight="1">
      <c r="B138" s="116">
        <v>2</v>
      </c>
      <c r="C138" s="61" t="s">
        <v>567</v>
      </c>
      <c r="D138" s="70">
        <v>44156</v>
      </c>
      <c r="E138" s="70">
        <v>44922</v>
      </c>
      <c r="F138" s="100">
        <f>E138-D138+1</f>
        <v>767</v>
      </c>
      <c r="G138" s="71">
        <v>867</v>
      </c>
      <c r="H138" s="147">
        <f>(E138-$K$16)</f>
        <v>87</v>
      </c>
      <c r="I138" s="148"/>
      <c r="J138" s="116"/>
      <c r="K138" s="116"/>
      <c r="N138" s="732"/>
    </row>
    <row r="139" spans="2:14" s="376" customFormat="1" ht="24.95" customHeight="1">
      <c r="B139" s="1192" t="s">
        <v>49</v>
      </c>
      <c r="C139" s="1192"/>
      <c r="D139" s="380"/>
      <c r="E139" s="381"/>
      <c r="F139" s="382"/>
      <c r="G139" s="383"/>
      <c r="H139" s="384">
        <f>SUM(H137:H138)/30</f>
        <v>2.9</v>
      </c>
      <c r="I139" s="368"/>
      <c r="J139" s="748"/>
      <c r="K139" s="385"/>
      <c r="N139" s="749"/>
    </row>
    <row r="140" spans="2:14" s="730" customFormat="1" ht="20.100000000000001" customHeight="1">
      <c r="C140" s="747"/>
      <c r="D140" s="747"/>
      <c r="F140" s="739"/>
      <c r="G140" s="731"/>
      <c r="H140" s="731"/>
      <c r="I140" s="731"/>
      <c r="J140" s="731"/>
      <c r="K140" s="731"/>
    </row>
    <row r="141" spans="2:14" s="390" customFormat="1" ht="20.100000000000001" customHeight="1">
      <c r="B141" s="72" t="s">
        <v>666</v>
      </c>
      <c r="C141" s="35" t="s">
        <v>710</v>
      </c>
      <c r="D141" s="389"/>
      <c r="F141" s="391"/>
      <c r="G141" s="392"/>
      <c r="H141" s="392"/>
      <c r="I141" s="392"/>
      <c r="J141" s="392"/>
      <c r="K141" s="392"/>
    </row>
    <row r="142" spans="2:14" s="390" customFormat="1" ht="20.100000000000001" customHeight="1">
      <c r="B142" s="72" t="s">
        <v>700</v>
      </c>
      <c r="C142" s="35" t="s">
        <v>242</v>
      </c>
      <c r="D142" s="389"/>
      <c r="F142" s="391"/>
      <c r="G142" s="392"/>
      <c r="H142" s="392"/>
      <c r="I142" s="392"/>
      <c r="J142" s="392"/>
      <c r="K142" s="392"/>
    </row>
    <row r="143" spans="2:14" s="390" customFormat="1" ht="20.100000000000001" customHeight="1">
      <c r="B143" s="72" t="s">
        <v>669</v>
      </c>
      <c r="C143" s="35" t="s">
        <v>212</v>
      </c>
      <c r="D143" s="389"/>
      <c r="F143" s="391"/>
      <c r="G143" s="392"/>
      <c r="H143" s="392"/>
      <c r="I143" s="392"/>
      <c r="J143" s="392"/>
      <c r="K143" s="392"/>
    </row>
    <row r="144" spans="2:14" s="390" customFormat="1" ht="35.1" customHeight="1">
      <c r="B144" s="72" t="s">
        <v>670</v>
      </c>
      <c r="C144" s="1194" t="s">
        <v>711</v>
      </c>
      <c r="D144" s="1194"/>
      <c r="E144" s="1194"/>
      <c r="F144" s="1194"/>
      <c r="G144" s="1194"/>
      <c r="H144" s="1194"/>
      <c r="I144" s="1194"/>
      <c r="J144" s="392"/>
      <c r="K144" s="392"/>
    </row>
    <row r="145" spans="2:13" s="390" customFormat="1" ht="20.100000000000001" customHeight="1">
      <c r="B145" s="72" t="s">
        <v>671</v>
      </c>
      <c r="C145" s="39" t="s">
        <v>712</v>
      </c>
      <c r="D145" s="69"/>
      <c r="E145" s="59"/>
      <c r="F145" s="74"/>
      <c r="G145" s="69"/>
      <c r="H145" s="69"/>
      <c r="I145" s="69"/>
      <c r="J145" s="69"/>
      <c r="K145" s="69"/>
      <c r="L145" s="59"/>
      <c r="M145" s="59"/>
    </row>
    <row r="146" spans="2:13" s="390" customFormat="1" ht="15.95" customHeight="1">
      <c r="C146" s="389"/>
      <c r="D146" s="389"/>
      <c r="F146" s="391"/>
      <c r="G146" s="392"/>
      <c r="H146" s="392"/>
      <c r="I146" s="392"/>
      <c r="J146" s="392"/>
      <c r="K146" s="392"/>
    </row>
    <row r="154" spans="2:13" ht="15.95" customHeight="1">
      <c r="B154" s="393"/>
    </row>
    <row r="155" spans="2:13" ht="15.95" customHeight="1">
      <c r="B155" s="393"/>
    </row>
    <row r="156" spans="2:13" ht="15.95" customHeight="1">
      <c r="B156" s="393"/>
    </row>
    <row r="157" spans="2:13" ht="15.95" customHeight="1">
      <c r="B157" s="393"/>
    </row>
    <row r="158" spans="2:13" ht="15.95" customHeight="1">
      <c r="B158" s="393"/>
    </row>
    <row r="159" spans="2:13" ht="15.95" customHeight="1">
      <c r="B159" s="393"/>
    </row>
  </sheetData>
  <mergeCells count="149">
    <mergeCell ref="B139:C139"/>
    <mergeCell ref="H128:H129"/>
    <mergeCell ref="I128:I129"/>
    <mergeCell ref="J128:J129"/>
    <mergeCell ref="B132:C132"/>
    <mergeCell ref="B135:B136"/>
    <mergeCell ref="C135:C136"/>
    <mergeCell ref="D135:E135"/>
    <mergeCell ref="F135:F136"/>
    <mergeCell ref="G135:G136"/>
    <mergeCell ref="H135:H136"/>
    <mergeCell ref="I135:I136"/>
    <mergeCell ref="J135:J136"/>
    <mergeCell ref="B128:B129"/>
    <mergeCell ref="C128:C129"/>
    <mergeCell ref="D128:E128"/>
    <mergeCell ref="F128:F129"/>
    <mergeCell ref="G128:G129"/>
    <mergeCell ref="G119:G120"/>
    <mergeCell ref="H119:H120"/>
    <mergeCell ref="I119:I120"/>
    <mergeCell ref="J119:J120"/>
    <mergeCell ref="B125:C125"/>
    <mergeCell ref="B116:C116"/>
    <mergeCell ref="B119:B120"/>
    <mergeCell ref="C119:C120"/>
    <mergeCell ref="D119:E119"/>
    <mergeCell ref="F119:F120"/>
    <mergeCell ref="H103:H104"/>
    <mergeCell ref="I103:I104"/>
    <mergeCell ref="J103:J104"/>
    <mergeCell ref="B107:C107"/>
    <mergeCell ref="B110:B111"/>
    <mergeCell ref="C110:C111"/>
    <mergeCell ref="D110:E110"/>
    <mergeCell ref="F110:F111"/>
    <mergeCell ref="G110:G111"/>
    <mergeCell ref="H110:H111"/>
    <mergeCell ref="I110:I111"/>
    <mergeCell ref="J110:J111"/>
    <mergeCell ref="B103:B104"/>
    <mergeCell ref="C103:C104"/>
    <mergeCell ref="D103:E103"/>
    <mergeCell ref="F103:F104"/>
    <mergeCell ref="G103:G104"/>
    <mergeCell ref="H93:H94"/>
    <mergeCell ref="I93:I94"/>
    <mergeCell ref="J93:J94"/>
    <mergeCell ref="B98:C98"/>
    <mergeCell ref="B100:C100"/>
    <mergeCell ref="B93:B94"/>
    <mergeCell ref="C93:C94"/>
    <mergeCell ref="D93:E93"/>
    <mergeCell ref="F93:F94"/>
    <mergeCell ref="G93:G94"/>
    <mergeCell ref="G86:G87"/>
    <mergeCell ref="H86:H87"/>
    <mergeCell ref="I86:I87"/>
    <mergeCell ref="J86:J87"/>
    <mergeCell ref="B90:C90"/>
    <mergeCell ref="B83:C83"/>
    <mergeCell ref="B86:B87"/>
    <mergeCell ref="C86:C87"/>
    <mergeCell ref="D86:E86"/>
    <mergeCell ref="F86:F87"/>
    <mergeCell ref="F78:F79"/>
    <mergeCell ref="G78:G79"/>
    <mergeCell ref="H78:H79"/>
    <mergeCell ref="I78:I79"/>
    <mergeCell ref="J78:J79"/>
    <mergeCell ref="B69:B70"/>
    <mergeCell ref="C69:C70"/>
    <mergeCell ref="D69:E69"/>
    <mergeCell ref="F69:F70"/>
    <mergeCell ref="G69:G70"/>
    <mergeCell ref="J62:J63"/>
    <mergeCell ref="B66:C66"/>
    <mergeCell ref="B59:C59"/>
    <mergeCell ref="B62:B63"/>
    <mergeCell ref="C62:C63"/>
    <mergeCell ref="D62:E62"/>
    <mergeCell ref="F62:F63"/>
    <mergeCell ref="H69:H70"/>
    <mergeCell ref="I69:I70"/>
    <mergeCell ref="J69:J70"/>
    <mergeCell ref="C144:I144"/>
    <mergeCell ref="B43:C43"/>
    <mergeCell ref="B57:C57"/>
    <mergeCell ref="G46:G47"/>
    <mergeCell ref="B46:B47"/>
    <mergeCell ref="C46:C47"/>
    <mergeCell ref="F53:F54"/>
    <mergeCell ref="D46:E46"/>
    <mergeCell ref="D53:E53"/>
    <mergeCell ref="H46:H47"/>
    <mergeCell ref="I53:I54"/>
    <mergeCell ref="B53:B54"/>
    <mergeCell ref="C53:C54"/>
    <mergeCell ref="G53:G54"/>
    <mergeCell ref="H53:H54"/>
    <mergeCell ref="F46:F47"/>
    <mergeCell ref="B50:C50"/>
    <mergeCell ref="G62:G63"/>
    <mergeCell ref="H62:H63"/>
    <mergeCell ref="I62:I63"/>
    <mergeCell ref="B75:C75"/>
    <mergeCell ref="B78:B79"/>
    <mergeCell ref="C78:C79"/>
    <mergeCell ref="D78:E78"/>
    <mergeCell ref="J53:J54"/>
    <mergeCell ref="J6:J7"/>
    <mergeCell ref="I35:I36"/>
    <mergeCell ref="F35:F36"/>
    <mergeCell ref="J15:J16"/>
    <mergeCell ref="F15:F16"/>
    <mergeCell ref="G6:G7"/>
    <mergeCell ref="J46:J47"/>
    <mergeCell ref="J35:J36"/>
    <mergeCell ref="I46:I47"/>
    <mergeCell ref="J25:J26"/>
    <mergeCell ref="I25:I26"/>
    <mergeCell ref="F25:F26"/>
    <mergeCell ref="G25:G26"/>
    <mergeCell ref="H15:H16"/>
    <mergeCell ref="G35:G36"/>
    <mergeCell ref="C35:C36"/>
    <mergeCell ref="B32:C32"/>
    <mergeCell ref="H35:H36"/>
    <mergeCell ref="B6:B7"/>
    <mergeCell ref="B10:C10"/>
    <mergeCell ref="B22:C22"/>
    <mergeCell ref="B15:B16"/>
    <mergeCell ref="C15:C16"/>
    <mergeCell ref="B12:C12"/>
    <mergeCell ref="D15:E15"/>
    <mergeCell ref="B35:B36"/>
    <mergeCell ref="D35:E35"/>
    <mergeCell ref="B3:C3"/>
    <mergeCell ref="I6:I7"/>
    <mergeCell ref="B25:B26"/>
    <mergeCell ref="C25:C26"/>
    <mergeCell ref="D25:E25"/>
    <mergeCell ref="C6:C7"/>
    <mergeCell ref="D6:E6"/>
    <mergeCell ref="I15:I16"/>
    <mergeCell ref="H6:H7"/>
    <mergeCell ref="F6:F7"/>
    <mergeCell ref="H25:H26"/>
    <mergeCell ref="G15:G16"/>
  </mergeCells>
  <phoneticPr fontId="3" type="noConversion"/>
  <printOptions horizontalCentered="1"/>
  <pageMargins left="0.74803149606299213" right="0.59055118110236227" top="0.98425196850393704" bottom="0.70866141732283472" header="0.51181102362204722" footer="0.51181102362204722"/>
  <pageSetup paperSize="9" scale="86" orientation="landscape" horizontalDpi="4294967293" r:id="rId1"/>
  <headerFooter alignWithMargins="0"/>
  <rowBreaks count="4" manualBreakCount="4">
    <brk id="23" max="10" man="1"/>
    <brk id="44" max="10" man="1"/>
    <brk id="66" max="10" man="1"/>
    <brk id="8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64"/>
  <sheetViews>
    <sheetView view="pageBreakPreview" zoomScaleNormal="85" zoomScaleSheetLayoutView="100" workbookViewId="0">
      <selection activeCell="J16" sqref="J16"/>
    </sheetView>
  </sheetViews>
  <sheetFormatPr defaultRowHeight="13.5"/>
  <cols>
    <col min="1" max="1" width="9.33203125" style="209" customWidth="1"/>
    <col min="2" max="2" width="21.109375" style="209" customWidth="1"/>
    <col min="3" max="3" width="8.44140625" style="209" customWidth="1"/>
    <col min="4" max="4" width="11.88671875" style="209" customWidth="1"/>
    <col min="5" max="5" width="8.77734375" style="209" customWidth="1"/>
    <col min="6" max="6" width="8.44140625" style="209" customWidth="1"/>
    <col min="7" max="7" width="10.33203125" style="361" customWidth="1"/>
    <col min="8" max="16384" width="8.88671875" style="209"/>
  </cols>
  <sheetData>
    <row r="1" spans="1:10" s="329" customFormat="1" ht="28.5" customHeight="1">
      <c r="A1" s="917" t="s">
        <v>414</v>
      </c>
      <c r="B1" s="918"/>
      <c r="C1" s="918"/>
      <c r="D1" s="918"/>
      <c r="E1" s="918"/>
      <c r="F1" s="918"/>
      <c r="G1" s="919"/>
    </row>
    <row r="2" spans="1:10" s="329" customFormat="1" ht="13.5" customHeight="1">
      <c r="G2" s="330"/>
    </row>
    <row r="3" spans="1:10" ht="23.1" customHeight="1">
      <c r="A3" s="920" t="s">
        <v>415</v>
      </c>
      <c r="B3" s="920"/>
      <c r="C3" s="920"/>
      <c r="D3" s="921" t="s">
        <v>416</v>
      </c>
      <c r="E3" s="922"/>
      <c r="F3" s="923"/>
      <c r="G3" s="924" t="s">
        <v>417</v>
      </c>
    </row>
    <row r="4" spans="1:10" ht="23.1" customHeight="1">
      <c r="A4" s="331"/>
      <c r="B4" s="781" t="s">
        <v>418</v>
      </c>
      <c r="C4" s="781" t="s">
        <v>419</v>
      </c>
      <c r="D4" s="926" t="s">
        <v>420</v>
      </c>
      <c r="E4" s="927"/>
      <c r="F4" s="332" t="s">
        <v>421</v>
      </c>
      <c r="G4" s="925"/>
    </row>
    <row r="5" spans="1:10" s="336" customFormat="1" ht="23.1" customHeight="1">
      <c r="A5" s="956" t="s">
        <v>682</v>
      </c>
      <c r="B5" s="903" t="s">
        <v>754</v>
      </c>
      <c r="C5" s="941">
        <f>SUM(F5:F9)</f>
        <v>14</v>
      </c>
      <c r="D5" s="942" t="s">
        <v>422</v>
      </c>
      <c r="E5" s="333" t="s">
        <v>423</v>
      </c>
      <c r="F5" s="334">
        <f>배점기준!C11</f>
        <v>3</v>
      </c>
      <c r="G5" s="335">
        <f>기술인!G5</f>
        <v>3</v>
      </c>
    </row>
    <row r="6" spans="1:10" s="336" customFormat="1" ht="23.1" customHeight="1">
      <c r="A6" s="956"/>
      <c r="B6" s="904"/>
      <c r="C6" s="909"/>
      <c r="D6" s="943"/>
      <c r="E6" s="337" t="s">
        <v>424</v>
      </c>
      <c r="F6" s="338">
        <f>배점기준!C17</f>
        <v>4</v>
      </c>
      <c r="G6" s="339">
        <f>기술인!K9</f>
        <v>4</v>
      </c>
    </row>
    <row r="7" spans="1:10" s="336" customFormat="1" ht="23.1" customHeight="1">
      <c r="A7" s="956"/>
      <c r="B7" s="904"/>
      <c r="C7" s="909"/>
      <c r="D7" s="944"/>
      <c r="E7" s="337" t="s">
        <v>425</v>
      </c>
      <c r="F7" s="338">
        <f>배점기준!C25</f>
        <v>4</v>
      </c>
      <c r="G7" s="339">
        <f>기술인!K12</f>
        <v>4</v>
      </c>
    </row>
    <row r="8" spans="1:10" s="336" customFormat="1" ht="23.1" customHeight="1">
      <c r="A8" s="956"/>
      <c r="B8" s="904"/>
      <c r="C8" s="909"/>
      <c r="D8" s="938" t="s">
        <v>426</v>
      </c>
      <c r="E8" s="939"/>
      <c r="F8" s="338">
        <v>2</v>
      </c>
      <c r="G8" s="339">
        <v>2</v>
      </c>
      <c r="H8" s="209"/>
      <c r="I8" s="209"/>
      <c r="J8" s="209"/>
    </row>
    <row r="9" spans="1:10" s="336" customFormat="1" ht="23.1" customHeight="1">
      <c r="A9" s="956"/>
      <c r="B9" s="946"/>
      <c r="C9" s="947"/>
      <c r="D9" s="938" t="s">
        <v>427</v>
      </c>
      <c r="E9" s="939"/>
      <c r="F9" s="338">
        <v>1</v>
      </c>
      <c r="G9" s="339">
        <v>1</v>
      </c>
      <c r="H9" s="209"/>
      <c r="I9" s="209"/>
      <c r="J9" s="209"/>
    </row>
    <row r="10" spans="1:10" s="336" customFormat="1" ht="23.1" customHeight="1">
      <c r="A10" s="956"/>
      <c r="B10" s="903" t="s">
        <v>428</v>
      </c>
      <c r="C10" s="941">
        <f>SUM(F10:F17)</f>
        <v>36</v>
      </c>
      <c r="D10" s="942" t="s">
        <v>429</v>
      </c>
      <c r="E10" s="333" t="s">
        <v>423</v>
      </c>
      <c r="F10" s="334">
        <f>배점기준!C33</f>
        <v>4</v>
      </c>
      <c r="G10" s="335">
        <f>기술인!F19</f>
        <v>2.4</v>
      </c>
      <c r="H10" s="209"/>
      <c r="I10" s="209"/>
      <c r="J10" s="209"/>
    </row>
    <row r="11" spans="1:10" s="336" customFormat="1" ht="23.1" customHeight="1">
      <c r="A11" s="956"/>
      <c r="B11" s="940"/>
      <c r="C11" s="909"/>
      <c r="D11" s="943"/>
      <c r="E11" s="337" t="s">
        <v>424</v>
      </c>
      <c r="F11" s="338">
        <f>배점기준!C39</f>
        <v>7</v>
      </c>
      <c r="G11" s="339">
        <f>기술인!K22</f>
        <v>7.0000000000000009</v>
      </c>
      <c r="H11" s="209"/>
      <c r="I11" s="209"/>
      <c r="J11" s="209"/>
    </row>
    <row r="12" spans="1:10" s="336" customFormat="1" ht="23.1" customHeight="1">
      <c r="A12" s="956"/>
      <c r="B12" s="940"/>
      <c r="C12" s="909"/>
      <c r="D12" s="944"/>
      <c r="E12" s="337" t="s">
        <v>425</v>
      </c>
      <c r="F12" s="338">
        <f>배점기준!C55</f>
        <v>5</v>
      </c>
      <c r="G12" s="339">
        <f>기술인!K26</f>
        <v>5</v>
      </c>
      <c r="H12" s="209"/>
      <c r="I12" s="209"/>
      <c r="J12" s="209"/>
    </row>
    <row r="13" spans="1:10" s="336" customFormat="1" ht="23.1" customHeight="1">
      <c r="A13" s="956"/>
      <c r="B13" s="940"/>
      <c r="C13" s="909"/>
      <c r="D13" s="945" t="s">
        <v>430</v>
      </c>
      <c r="E13" s="337" t="s">
        <v>423</v>
      </c>
      <c r="F13" s="338">
        <f>배점기준!C35</f>
        <v>5</v>
      </c>
      <c r="G13" s="339">
        <f>기술인!F20</f>
        <v>5</v>
      </c>
      <c r="H13" s="209"/>
      <c r="I13" s="209"/>
      <c r="J13" s="209"/>
    </row>
    <row r="14" spans="1:10" s="336" customFormat="1" ht="23.1" customHeight="1">
      <c r="A14" s="956"/>
      <c r="B14" s="940"/>
      <c r="C14" s="909"/>
      <c r="D14" s="943"/>
      <c r="E14" s="337" t="s">
        <v>424</v>
      </c>
      <c r="F14" s="338">
        <f>배점기준!C47</f>
        <v>8</v>
      </c>
      <c r="G14" s="339">
        <f>기술인!K24</f>
        <v>6.6</v>
      </c>
      <c r="H14" s="209"/>
      <c r="I14" s="209"/>
      <c r="J14" s="209"/>
    </row>
    <row r="15" spans="1:10" s="336" customFormat="1" ht="23.1" customHeight="1">
      <c r="A15" s="956"/>
      <c r="B15" s="940"/>
      <c r="C15" s="909"/>
      <c r="D15" s="944"/>
      <c r="E15" s="337" t="s">
        <v>425</v>
      </c>
      <c r="F15" s="338">
        <f>배점기준!C63</f>
        <v>5</v>
      </c>
      <c r="G15" s="339">
        <f>기술인!K28</f>
        <v>4.5</v>
      </c>
      <c r="H15" s="209"/>
      <c r="I15" s="209"/>
      <c r="J15" s="209"/>
    </row>
    <row r="16" spans="1:10" s="336" customFormat="1" ht="23.1" customHeight="1">
      <c r="A16" s="956"/>
      <c r="B16" s="940"/>
      <c r="C16" s="909"/>
      <c r="D16" s="938" t="s">
        <v>431</v>
      </c>
      <c r="E16" s="948"/>
      <c r="F16" s="340">
        <f>배점기준!C71</f>
        <v>1</v>
      </c>
      <c r="G16" s="341">
        <f>기술인!F34</f>
        <v>1</v>
      </c>
      <c r="H16" s="209"/>
      <c r="I16" s="209"/>
      <c r="J16" s="209"/>
    </row>
    <row r="17" spans="1:10" s="336" customFormat="1" ht="23.1" customHeight="1">
      <c r="A17" s="956"/>
      <c r="B17" s="916"/>
      <c r="C17" s="910"/>
      <c r="D17" s="949" t="s">
        <v>432</v>
      </c>
      <c r="E17" s="950"/>
      <c r="F17" s="342">
        <f>배점기준!C37</f>
        <v>1</v>
      </c>
      <c r="G17" s="343">
        <f>기술인!H36</f>
        <v>0</v>
      </c>
      <c r="H17" s="209"/>
      <c r="I17" s="209"/>
      <c r="J17" s="209"/>
    </row>
    <row r="18" spans="1:10" s="336" customFormat="1" ht="23.1" customHeight="1">
      <c r="A18" s="951" t="s">
        <v>433</v>
      </c>
      <c r="B18" s="903" t="s">
        <v>434</v>
      </c>
      <c r="C18" s="908">
        <f>SUM(F18:F21)</f>
        <v>15</v>
      </c>
      <c r="D18" s="959" t="s">
        <v>435</v>
      </c>
      <c r="E18" s="337" t="s">
        <v>436</v>
      </c>
      <c r="F18" s="338">
        <f>배점기준!C73</f>
        <v>6</v>
      </c>
      <c r="G18" s="339">
        <f>유사용역!H4</f>
        <v>6</v>
      </c>
      <c r="H18" s="209"/>
      <c r="I18" s="209"/>
      <c r="J18" s="209"/>
    </row>
    <row r="19" spans="1:10" s="336" customFormat="1" ht="23.1" customHeight="1">
      <c r="A19" s="952"/>
      <c r="B19" s="904"/>
      <c r="C19" s="909"/>
      <c r="D19" s="960"/>
      <c r="E19" s="337" t="s">
        <v>437</v>
      </c>
      <c r="F19" s="338">
        <f>배점기준!C77</f>
        <v>6</v>
      </c>
      <c r="G19" s="339">
        <f>유사용역!H7</f>
        <v>6</v>
      </c>
      <c r="H19" s="209"/>
      <c r="I19" s="209"/>
      <c r="J19" s="209"/>
    </row>
    <row r="20" spans="1:10" s="336" customFormat="1" ht="23.1" customHeight="1">
      <c r="A20" s="952"/>
      <c r="B20" s="904"/>
      <c r="C20" s="909"/>
      <c r="D20" s="961" t="s">
        <v>438</v>
      </c>
      <c r="E20" s="962"/>
      <c r="F20" s="344">
        <f>배점기준!C79</f>
        <v>1</v>
      </c>
      <c r="G20" s="345">
        <f>유사용역!F11</f>
        <v>0</v>
      </c>
      <c r="H20" s="209"/>
      <c r="I20" s="209"/>
      <c r="J20" s="209"/>
    </row>
    <row r="21" spans="1:10" s="336" customFormat="1" ht="23.1" customHeight="1">
      <c r="A21" s="952"/>
      <c r="B21" s="905"/>
      <c r="C21" s="910"/>
      <c r="D21" s="906" t="s">
        <v>590</v>
      </c>
      <c r="E21" s="907"/>
      <c r="F21" s="346">
        <f>배점기준!C81</f>
        <v>2</v>
      </c>
      <c r="G21" s="347">
        <f>용역수행성과!G17</f>
        <v>1.8340000000000001</v>
      </c>
      <c r="H21" s="209"/>
      <c r="I21" s="209"/>
      <c r="J21" s="209"/>
    </row>
    <row r="22" spans="1:10" s="336" customFormat="1" ht="23.1" customHeight="1">
      <c r="A22" s="952"/>
      <c r="B22" s="915" t="s">
        <v>439</v>
      </c>
      <c r="C22" s="908">
        <f>SUM(F22:F23)</f>
        <v>10</v>
      </c>
      <c r="D22" s="963" t="s">
        <v>440</v>
      </c>
      <c r="E22" s="964"/>
      <c r="F22" s="334">
        <f>배점기준!C83</f>
        <v>7</v>
      </c>
      <c r="G22" s="335">
        <f>신용도!L6</f>
        <v>7</v>
      </c>
      <c r="H22" s="209"/>
      <c r="I22" s="209"/>
      <c r="J22" s="209"/>
    </row>
    <row r="23" spans="1:10" s="336" customFormat="1" ht="23.1" customHeight="1">
      <c r="A23" s="952"/>
      <c r="B23" s="916"/>
      <c r="C23" s="910"/>
      <c r="D23" s="965" t="s">
        <v>441</v>
      </c>
      <c r="E23" s="966"/>
      <c r="F23" s="342">
        <f>배점기준!C89</f>
        <v>3</v>
      </c>
      <c r="G23" s="343">
        <f>신용도!K13</f>
        <v>3</v>
      </c>
      <c r="H23" s="209"/>
      <c r="I23" s="209"/>
      <c r="J23" s="209"/>
    </row>
    <row r="24" spans="1:10" ht="23.1" customHeight="1">
      <c r="A24" s="952"/>
      <c r="B24" s="903" t="s">
        <v>442</v>
      </c>
      <c r="C24" s="908">
        <f>SUM(F24:F26)</f>
        <v>13</v>
      </c>
      <c r="D24" s="967" t="s">
        <v>443</v>
      </c>
      <c r="E24" s="964"/>
      <c r="F24" s="334">
        <f>배점기준!C93</f>
        <v>2</v>
      </c>
      <c r="G24" s="335">
        <f>기술투자!O6</f>
        <v>1.9510000000000001</v>
      </c>
    </row>
    <row r="25" spans="1:10" ht="23.1" customHeight="1">
      <c r="A25" s="952"/>
      <c r="B25" s="904"/>
      <c r="C25" s="909"/>
      <c r="D25" s="968" t="s">
        <v>444</v>
      </c>
      <c r="E25" s="969"/>
      <c r="F25" s="338">
        <f>배점기준!C98</f>
        <v>8</v>
      </c>
      <c r="G25" s="339">
        <f>기술투자!J13</f>
        <v>8</v>
      </c>
      <c r="H25" s="350"/>
    </row>
    <row r="26" spans="1:10" ht="23.1" customHeight="1">
      <c r="A26" s="952"/>
      <c r="B26" s="905"/>
      <c r="C26" s="910"/>
      <c r="D26" s="965" t="s">
        <v>445</v>
      </c>
      <c r="E26" s="966"/>
      <c r="F26" s="342">
        <f>배점기준!C100</f>
        <v>3</v>
      </c>
      <c r="G26" s="343">
        <f>기술투자!J26</f>
        <v>2.8441999999999998</v>
      </c>
      <c r="H26" s="350"/>
    </row>
    <row r="27" spans="1:10" ht="23.1" customHeight="1">
      <c r="A27" s="952"/>
      <c r="B27" s="904" t="s">
        <v>591</v>
      </c>
      <c r="C27" s="909">
        <f>SUM(F27:F28)</f>
        <v>2</v>
      </c>
      <c r="D27" s="911" t="s">
        <v>592</v>
      </c>
      <c r="E27" s="912"/>
      <c r="F27" s="348">
        <v>1</v>
      </c>
      <c r="G27" s="349">
        <f>'중소기업 상생발전'!F6</f>
        <v>0</v>
      </c>
      <c r="H27" s="350"/>
    </row>
    <row r="28" spans="1:10" ht="23.1" customHeight="1">
      <c r="A28" s="953"/>
      <c r="B28" s="905"/>
      <c r="C28" s="910"/>
      <c r="D28" s="913" t="s">
        <v>593</v>
      </c>
      <c r="E28" s="914"/>
      <c r="F28" s="348">
        <v>1</v>
      </c>
      <c r="G28" s="349">
        <f>'중소기업 상생발전'!F13</f>
        <v>0</v>
      </c>
      <c r="H28" s="350"/>
    </row>
    <row r="29" spans="1:10" ht="23.1" customHeight="1">
      <c r="A29" s="928" t="s">
        <v>446</v>
      </c>
      <c r="B29" s="929"/>
      <c r="C29" s="908">
        <f>SUM(F29:F32)</f>
        <v>10</v>
      </c>
      <c r="D29" s="967" t="s">
        <v>261</v>
      </c>
      <c r="E29" s="964"/>
      <c r="F29" s="334">
        <f>배점기준!C113</f>
        <v>3</v>
      </c>
      <c r="G29" s="335">
        <f>업무중복도!D9</f>
        <v>3</v>
      </c>
    </row>
    <row r="30" spans="1:10" ht="23.1" customHeight="1">
      <c r="A30" s="930"/>
      <c r="B30" s="931"/>
      <c r="C30" s="909"/>
      <c r="D30" s="957" t="s">
        <v>594</v>
      </c>
      <c r="E30" s="958"/>
      <c r="F30" s="344">
        <f>배점기준!C114</f>
        <v>4</v>
      </c>
      <c r="G30" s="345">
        <f>업무중복도!K9</f>
        <v>4</v>
      </c>
      <c r="H30" s="351"/>
    </row>
    <row r="31" spans="1:10" ht="23.1" customHeight="1">
      <c r="A31" s="930"/>
      <c r="B31" s="931"/>
      <c r="C31" s="909"/>
      <c r="D31" s="934" t="s">
        <v>595</v>
      </c>
      <c r="E31" s="935"/>
      <c r="F31" s="352">
        <v>2</v>
      </c>
      <c r="G31" s="353">
        <f>업무중복도!R9</f>
        <v>2</v>
      </c>
      <c r="H31" s="351"/>
    </row>
    <row r="32" spans="1:10" ht="23.1" customHeight="1">
      <c r="A32" s="932"/>
      <c r="B32" s="933"/>
      <c r="C32" s="910"/>
      <c r="D32" s="936" t="s">
        <v>681</v>
      </c>
      <c r="E32" s="937"/>
      <c r="F32" s="354">
        <v>1</v>
      </c>
      <c r="G32" s="355">
        <f>업무중복도!Y9</f>
        <v>1</v>
      </c>
      <c r="H32" s="351"/>
    </row>
    <row r="33" spans="1:7" ht="23.1" customHeight="1">
      <c r="A33" s="970" t="s">
        <v>447</v>
      </c>
      <c r="B33" s="971"/>
      <c r="C33" s="356"/>
      <c r="D33" s="972" t="s">
        <v>448</v>
      </c>
      <c r="E33" s="973"/>
      <c r="F33" s="357"/>
      <c r="G33" s="358">
        <f>가감점!G5</f>
        <v>0.5</v>
      </c>
    </row>
    <row r="34" spans="1:7" s="360" customFormat="1" ht="23.1" customHeight="1">
      <c r="A34" s="954" t="s">
        <v>449</v>
      </c>
      <c r="B34" s="954"/>
      <c r="C34" s="359">
        <f>SUM(C5:C33)</f>
        <v>100</v>
      </c>
      <c r="D34" s="955"/>
      <c r="E34" s="955"/>
      <c r="F34" s="955"/>
      <c r="G34" s="782">
        <f>ROUND(SUM(G5:G33),2)</f>
        <v>92.63</v>
      </c>
    </row>
    <row r="35" spans="1:7" ht="13.5" customHeight="1">
      <c r="C35" s="361"/>
      <c r="F35" s="361"/>
    </row>
    <row r="36" spans="1:7" ht="13.5" customHeight="1">
      <c r="C36" s="361"/>
      <c r="F36" s="361"/>
    </row>
    <row r="37" spans="1:7" ht="13.5" customHeight="1">
      <c r="F37" s="361"/>
    </row>
    <row r="38" spans="1:7" ht="13.5" customHeight="1">
      <c r="C38" s="361"/>
      <c r="F38" s="361"/>
    </row>
    <row r="39" spans="1:7" ht="13.5" customHeight="1">
      <c r="C39" s="361"/>
      <c r="F39" s="361"/>
    </row>
    <row r="40" spans="1:7" ht="13.5" customHeight="1">
      <c r="C40" s="361"/>
      <c r="F40" s="361"/>
    </row>
    <row r="41" spans="1:7" ht="13.5" customHeight="1">
      <c r="C41" s="361"/>
      <c r="F41" s="361"/>
    </row>
    <row r="42" spans="1:7" ht="13.5" customHeight="1">
      <c r="C42" s="361"/>
      <c r="F42" s="361"/>
    </row>
    <row r="43" spans="1:7" ht="13.5" customHeight="1">
      <c r="C43" s="361"/>
      <c r="F43" s="361"/>
    </row>
    <row r="44" spans="1:7" ht="13.5" customHeight="1">
      <c r="C44" s="361"/>
      <c r="F44" s="361"/>
    </row>
    <row r="45" spans="1:7" ht="13.5" customHeight="1">
      <c r="C45" s="361"/>
      <c r="F45" s="361"/>
    </row>
    <row r="46" spans="1:7" ht="13.5" customHeight="1">
      <c r="C46" s="361"/>
      <c r="F46" s="361"/>
    </row>
    <row r="47" spans="1:7" ht="13.5" customHeight="1">
      <c r="C47" s="361"/>
      <c r="F47" s="361"/>
    </row>
    <row r="48" spans="1:7" ht="13.5" customHeight="1">
      <c r="C48" s="361"/>
      <c r="F48" s="361"/>
    </row>
    <row r="49" spans="3:6" ht="13.5" customHeight="1">
      <c r="C49" s="361"/>
      <c r="F49" s="361"/>
    </row>
    <row r="50" spans="3:6" ht="13.5" customHeight="1">
      <c r="C50" s="361"/>
      <c r="F50" s="361"/>
    </row>
    <row r="51" spans="3:6" ht="13.5" customHeight="1">
      <c r="C51" s="361"/>
      <c r="F51" s="361"/>
    </row>
    <row r="52" spans="3:6" ht="13.5" customHeight="1">
      <c r="C52" s="361"/>
      <c r="F52" s="361"/>
    </row>
    <row r="53" spans="3:6" ht="13.5" customHeight="1">
      <c r="C53" s="361"/>
      <c r="F53" s="361"/>
    </row>
    <row r="54" spans="3:6" ht="13.5" customHeight="1">
      <c r="C54" s="361"/>
      <c r="F54" s="361"/>
    </row>
    <row r="55" spans="3:6" ht="13.5" customHeight="1">
      <c r="C55" s="361"/>
      <c r="F55" s="361"/>
    </row>
    <row r="56" spans="3:6" ht="13.5" customHeight="1">
      <c r="C56" s="361"/>
      <c r="F56" s="361"/>
    </row>
    <row r="57" spans="3:6" ht="13.5" customHeight="1">
      <c r="C57" s="361"/>
      <c r="F57" s="361"/>
    </row>
    <row r="58" spans="3:6" ht="13.5" customHeight="1">
      <c r="C58" s="361"/>
      <c r="F58" s="361"/>
    </row>
    <row r="59" spans="3:6">
      <c r="C59" s="361"/>
      <c r="F59" s="361"/>
    </row>
    <row r="60" spans="3:6">
      <c r="C60" s="361"/>
      <c r="F60" s="361"/>
    </row>
    <row r="61" spans="3:6">
      <c r="C61" s="361"/>
      <c r="F61" s="361"/>
    </row>
    <row r="62" spans="3:6">
      <c r="C62" s="361"/>
      <c r="F62" s="361"/>
    </row>
    <row r="63" spans="3:6">
      <c r="C63" s="361"/>
    </row>
    <row r="64" spans="3:6">
      <c r="C64" s="361"/>
    </row>
  </sheetData>
  <mergeCells count="46">
    <mergeCell ref="A34:B34"/>
    <mergeCell ref="D34:F34"/>
    <mergeCell ref="A5:A17"/>
    <mergeCell ref="D30:E30"/>
    <mergeCell ref="D18:D19"/>
    <mergeCell ref="B24:B26"/>
    <mergeCell ref="D20:E20"/>
    <mergeCell ref="D22:E22"/>
    <mergeCell ref="D23:E23"/>
    <mergeCell ref="C24:C26"/>
    <mergeCell ref="D24:E24"/>
    <mergeCell ref="D25:E25"/>
    <mergeCell ref="D26:E26"/>
    <mergeCell ref="A33:B33"/>
    <mergeCell ref="D33:E33"/>
    <mergeCell ref="D29:E29"/>
    <mergeCell ref="A29:B32"/>
    <mergeCell ref="C29:C32"/>
    <mergeCell ref="D31:E31"/>
    <mergeCell ref="D32:E32"/>
    <mergeCell ref="D9:E9"/>
    <mergeCell ref="B10:B17"/>
    <mergeCell ref="C10:C17"/>
    <mergeCell ref="D10:D12"/>
    <mergeCell ref="D13:D15"/>
    <mergeCell ref="B5:B9"/>
    <mergeCell ref="C5:C9"/>
    <mergeCell ref="D5:D7"/>
    <mergeCell ref="D16:E16"/>
    <mergeCell ref="D17:E17"/>
    <mergeCell ref="D8:E8"/>
    <mergeCell ref="A18:A28"/>
    <mergeCell ref="A1:G1"/>
    <mergeCell ref="A3:C3"/>
    <mergeCell ref="D3:F3"/>
    <mergeCell ref="G3:G4"/>
    <mergeCell ref="D4:E4"/>
    <mergeCell ref="B18:B21"/>
    <mergeCell ref="D21:E21"/>
    <mergeCell ref="C18:C21"/>
    <mergeCell ref="B27:B28"/>
    <mergeCell ref="C27:C28"/>
    <mergeCell ref="D27:E27"/>
    <mergeCell ref="D28:E28"/>
    <mergeCell ref="B22:B23"/>
    <mergeCell ref="C22:C23"/>
  </mergeCells>
  <phoneticPr fontId="2" type="noConversion"/>
  <printOptions horizontalCentered="1"/>
  <pageMargins left="0.74803149606299213" right="0.55118110236220474" top="0.98425196850393704" bottom="0.78740157480314965" header="0.51181102362204722" footer="0.51181102362204722"/>
  <pageSetup paperSize="9" scale="90" orientation="portrait" horizontalDpi="4294967294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0"/>
  </sheetPr>
  <dimension ref="A1:AC22"/>
  <sheetViews>
    <sheetView view="pageBreakPreview" zoomScale="85" zoomScaleNormal="55" zoomScaleSheetLayoutView="70" workbookViewId="0">
      <selection activeCell="F7" sqref="F7"/>
    </sheetView>
  </sheetViews>
  <sheetFormatPr defaultRowHeight="15.95" customHeight="1"/>
  <cols>
    <col min="1" max="1" width="3.77734375" style="207" customWidth="1"/>
    <col min="2" max="2" width="27.21875" style="207" customWidth="1"/>
    <col min="3" max="3" width="27.77734375" style="207" customWidth="1"/>
    <col min="4" max="6" width="27.21875" style="207" customWidth="1"/>
    <col min="7" max="7" width="26.6640625" style="207" customWidth="1"/>
    <col min="8" max="8" width="10.21875" style="207" bestFit="1" customWidth="1"/>
    <col min="9" max="10" width="5.6640625" style="207" bestFit="1" customWidth="1"/>
    <col min="11" max="11" width="8.21875" style="207" customWidth="1"/>
    <col min="12" max="12" width="8.6640625" style="207" customWidth="1"/>
    <col min="13" max="13" width="6.5546875" style="207" customWidth="1"/>
    <col min="14" max="14" width="6.44140625" style="207" customWidth="1"/>
    <col min="15" max="17" width="5.6640625" style="207" bestFit="1" customWidth="1"/>
    <col min="18" max="18" width="6" style="207" bestFit="1" customWidth="1"/>
    <col min="19" max="19" width="5.6640625" style="207" bestFit="1" customWidth="1"/>
    <col min="20" max="20" width="5.77734375" style="207" customWidth="1"/>
    <col min="21" max="21" width="5.6640625" style="207" bestFit="1" customWidth="1"/>
    <col min="22" max="22" width="5.5546875" style="207" customWidth="1"/>
    <col min="23" max="24" width="7.88671875" style="207" customWidth="1"/>
    <col min="25" max="25" width="9.109375" style="207" customWidth="1"/>
    <col min="26" max="26" width="8.33203125" style="207" customWidth="1"/>
    <col min="27" max="27" width="7.88671875" style="374" customWidth="1"/>
    <col min="28" max="28" width="6.33203125" style="207" bestFit="1" customWidth="1"/>
    <col min="29" max="29" width="8.77734375" style="207" customWidth="1"/>
    <col min="30" max="30" width="6.33203125" style="207" bestFit="1" customWidth="1"/>
    <col min="31" max="31" width="8.5546875" style="207" customWidth="1"/>
    <col min="32" max="32" width="7.5546875" style="207" bestFit="1" customWidth="1"/>
    <col min="33" max="33" width="6" style="207" customWidth="1"/>
    <col min="34" max="34" width="9.44140625" style="207" customWidth="1"/>
    <col min="35" max="35" width="4" style="207" customWidth="1"/>
    <col min="36" max="36" width="7.77734375" style="207" customWidth="1"/>
    <col min="37" max="16384" width="8.88671875" style="207"/>
  </cols>
  <sheetData>
    <row r="1" spans="1:29" s="365" customFormat="1" ht="36.75" customHeight="1">
      <c r="A1" s="364" t="s">
        <v>196</v>
      </c>
      <c r="AA1" s="366"/>
    </row>
    <row r="2" spans="1:29" s="218" customFormat="1" ht="21" customHeight="1">
      <c r="A2" s="363"/>
      <c r="AA2" s="367"/>
    </row>
    <row r="3" spans="1:29" s="218" customFormat="1" ht="43.5" customHeight="1">
      <c r="B3" s="1087" t="s">
        <v>54</v>
      </c>
      <c r="C3" s="1158" t="s">
        <v>73</v>
      </c>
      <c r="D3" s="1196" t="s">
        <v>753</v>
      </c>
      <c r="E3" s="1196" t="s">
        <v>752</v>
      </c>
      <c r="F3" s="1198" t="s">
        <v>759</v>
      </c>
      <c r="G3" s="1196" t="s">
        <v>310</v>
      </c>
    </row>
    <row r="4" spans="1:29" s="218" customFormat="1" ht="43.5" customHeight="1">
      <c r="B4" s="1087"/>
      <c r="C4" s="1158"/>
      <c r="D4" s="1197"/>
      <c r="E4" s="1196"/>
      <c r="F4" s="1199"/>
      <c r="G4" s="1197"/>
    </row>
    <row r="5" spans="1:29" s="218" customFormat="1" ht="87" customHeight="1">
      <c r="B5" s="368" t="str">
        <f>업무중복도!B6</f>
        <v>oo엔지니어링</v>
      </c>
      <c r="C5" s="369">
        <f>참여업체!B7</f>
        <v>0.42</v>
      </c>
      <c r="D5" s="370">
        <v>0</v>
      </c>
      <c r="E5" s="370">
        <v>0.3</v>
      </c>
      <c r="F5" s="370">
        <v>0.2</v>
      </c>
      <c r="G5" s="1195">
        <f>ROUND((D5*C5+C6*D6+C7*D7)+(E5*C5+E6*C6+C7*E7)+(F5*C5+F6*C6+F7*C7),2)</f>
        <v>0.5</v>
      </c>
      <c r="AC5" s="371"/>
    </row>
    <row r="6" spans="1:29" s="218" customFormat="1" ht="87" customHeight="1">
      <c r="B6" s="368" t="str">
        <f>업무중복도!B7</f>
        <v>＊＊엔지니어링</v>
      </c>
      <c r="C6" s="369">
        <f>참여업체!C7</f>
        <v>0.33</v>
      </c>
      <c r="D6" s="370">
        <v>0</v>
      </c>
      <c r="E6" s="370">
        <v>0.3</v>
      </c>
      <c r="F6" s="370">
        <v>0.2</v>
      </c>
      <c r="G6" s="1195"/>
      <c r="AC6" s="371"/>
    </row>
    <row r="7" spans="1:29" s="218" customFormat="1" ht="87" customHeight="1">
      <c r="B7" s="368" t="str">
        <f>업무중복도!B8</f>
        <v>☆☆엔지니어링</v>
      </c>
      <c r="C7" s="369">
        <f>참여업체!D7</f>
        <v>0.25</v>
      </c>
      <c r="D7" s="370">
        <v>0</v>
      </c>
      <c r="E7" s="370">
        <v>0.3</v>
      </c>
      <c r="F7" s="370">
        <v>0.2</v>
      </c>
      <c r="G7" s="1195"/>
      <c r="AC7" s="371"/>
    </row>
    <row r="8" spans="1:29" ht="46.5" customHeight="1">
      <c r="B8" s="372"/>
      <c r="I8" s="373"/>
      <c r="J8" s="373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</row>
    <row r="9" spans="1:29" ht="18.75" customHeight="1"/>
    <row r="22" spans="18:18" ht="15.95" customHeight="1">
      <c r="R22" s="219"/>
    </row>
  </sheetData>
  <mergeCells count="7">
    <mergeCell ref="G5:G7"/>
    <mergeCell ref="B3:B4"/>
    <mergeCell ref="D3:D4"/>
    <mergeCell ref="C3:C4"/>
    <mergeCell ref="G3:G4"/>
    <mergeCell ref="E3:E4"/>
    <mergeCell ref="F3:F4"/>
  </mergeCells>
  <phoneticPr fontId="2" type="noConversion"/>
  <pageMargins left="0.71" right="0.74803149606299213" top="1.1499999999999999" bottom="0.78740157480314965" header="0.51181102362204722" footer="0.51181102362204722"/>
  <pageSetup paperSize="9" scale="67" orientation="landscape" horizontalDpi="4294967293" r:id="rId1"/>
  <headerFooter alignWithMargins="0"/>
  <colBreaks count="1" manualBreakCount="1">
    <brk id="34" max="6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0"/>
    <pageSetUpPr fitToPage="1"/>
  </sheetPr>
  <dimension ref="A1:P37"/>
  <sheetViews>
    <sheetView view="pageBreakPreview" zoomScale="85" zoomScaleSheetLayoutView="55" workbookViewId="0"/>
  </sheetViews>
  <sheetFormatPr defaultRowHeight="17.100000000000001" customHeight="1"/>
  <cols>
    <col min="1" max="2" width="3.77734375" style="209" customWidth="1"/>
    <col min="3" max="3" width="19.77734375" style="209" customWidth="1"/>
    <col min="4" max="4" width="15.77734375" style="209" customWidth="1"/>
    <col min="5" max="5" width="9.33203125" style="209" customWidth="1"/>
    <col min="6" max="7" width="9.5546875" style="209" bestFit="1" customWidth="1"/>
    <col min="8" max="10" width="9.21875" style="209" customWidth="1"/>
    <col min="11" max="11" width="8.88671875" style="209" bestFit="1"/>
    <col min="12" max="12" width="5.88671875" style="209" customWidth="1"/>
    <col min="13" max="13" width="5.6640625" style="209" customWidth="1"/>
    <col min="14" max="14" width="10.77734375" style="209" customWidth="1"/>
    <col min="15" max="15" width="9.6640625" style="209" customWidth="1"/>
    <col min="16" max="16" width="9.77734375" style="209" customWidth="1"/>
    <col min="17" max="17" width="3.6640625" style="209" bestFit="1" customWidth="1"/>
    <col min="18" max="22" width="3.21875" style="209" bestFit="1" customWidth="1"/>
    <col min="23" max="26" width="3.33203125" style="209" bestFit="1" customWidth="1"/>
    <col min="27" max="46" width="4.44140625" style="209" bestFit="1" customWidth="1"/>
    <col min="47" max="47" width="4.33203125" style="209" bestFit="1" customWidth="1"/>
    <col min="48" max="16384" width="8.88671875" style="209"/>
  </cols>
  <sheetData>
    <row r="1" spans="1:12" s="365" customFormat="1" ht="24.95" customHeight="1">
      <c r="A1" s="364" t="s">
        <v>173</v>
      </c>
      <c r="B1" s="364"/>
    </row>
    <row r="2" spans="1:12" s="529" customFormat="1" ht="20.100000000000001" customHeight="1">
      <c r="B2" s="495" t="s">
        <v>411</v>
      </c>
      <c r="C2" s="660"/>
      <c r="D2" s="660"/>
      <c r="E2" s="660"/>
      <c r="F2" s="660"/>
      <c r="G2" s="660"/>
      <c r="H2" s="660"/>
      <c r="I2" s="660"/>
      <c r="J2" s="660"/>
      <c r="K2" s="660"/>
    </row>
    <row r="3" spans="1:12" ht="5.0999999999999996" customHeight="1">
      <c r="A3" s="336"/>
      <c r="B3" s="660"/>
      <c r="C3" s="660"/>
      <c r="D3" s="660"/>
      <c r="E3" s="660"/>
      <c r="F3" s="660"/>
      <c r="G3" s="660"/>
      <c r="H3" s="660"/>
      <c r="I3" s="660"/>
      <c r="J3" s="660"/>
      <c r="K3" s="660"/>
    </row>
    <row r="4" spans="1:12" ht="20.100000000000001" customHeight="1">
      <c r="A4" s="336"/>
      <c r="B4" s="660"/>
      <c r="C4" s="661" t="s">
        <v>267</v>
      </c>
      <c r="D4" s="661" t="s">
        <v>268</v>
      </c>
      <c r="E4" s="661" t="s">
        <v>269</v>
      </c>
      <c r="F4" s="662" t="s">
        <v>270</v>
      </c>
      <c r="G4" s="661" t="s">
        <v>271</v>
      </c>
      <c r="H4" s="757"/>
      <c r="I4" s="757"/>
      <c r="J4" s="757"/>
      <c r="K4" s="757"/>
    </row>
    <row r="5" spans="1:12" ht="20.100000000000001" customHeight="1">
      <c r="A5" s="336"/>
      <c r="B5" s="660"/>
      <c r="C5" s="976" t="s">
        <v>272</v>
      </c>
      <c r="D5" s="663" t="s">
        <v>269</v>
      </c>
      <c r="E5" s="664" t="s">
        <v>273</v>
      </c>
      <c r="F5" s="758">
        <v>1</v>
      </c>
      <c r="G5" s="665">
        <f>IF(E5=배점기준!E11,배점기준!$E$12,IF(E5=배점기준!F11,배점기준!$F$12,IF(E5=배점기준!G11,배점기준!$G$12,0)))*F5</f>
        <v>3</v>
      </c>
      <c r="H5" s="757"/>
      <c r="I5" s="757"/>
      <c r="J5" s="757"/>
      <c r="K5" s="757"/>
    </row>
    <row r="6" spans="1:12" ht="20.100000000000001" customHeight="1">
      <c r="A6" s="336"/>
      <c r="B6" s="660"/>
      <c r="C6" s="977"/>
      <c r="D6" s="666" t="s">
        <v>274</v>
      </c>
      <c r="E6" s="759">
        <v>0</v>
      </c>
      <c r="F6" s="760"/>
      <c r="G6" s="665">
        <f>E6</f>
        <v>0</v>
      </c>
      <c r="H6" s="757"/>
      <c r="I6" s="757"/>
      <c r="J6" s="757"/>
      <c r="K6" s="757"/>
    </row>
    <row r="7" spans="1:12" ht="20.100000000000001" customHeight="1">
      <c r="A7" s="336"/>
      <c r="B7" s="660"/>
      <c r="C7" s="978"/>
      <c r="D7" s="667" t="s">
        <v>275</v>
      </c>
      <c r="E7" s="761">
        <v>0</v>
      </c>
      <c r="F7" s="760"/>
      <c r="G7" s="668">
        <f>E7</f>
        <v>0</v>
      </c>
      <c r="H7" s="757"/>
      <c r="I7" s="757"/>
      <c r="J7" s="757"/>
      <c r="K7" s="757"/>
    </row>
    <row r="8" spans="1:12" ht="20.100000000000001" customHeight="1">
      <c r="A8" s="336"/>
      <c r="B8" s="660"/>
      <c r="C8" s="974" t="s">
        <v>276</v>
      </c>
      <c r="D8" s="669" t="s">
        <v>268</v>
      </c>
      <c r="E8" s="670" t="str">
        <f>배점기준!D19</f>
        <v>도시계획</v>
      </c>
      <c r="F8" s="671" t="str">
        <f>배점기준!D20</f>
        <v>토질지질</v>
      </c>
      <c r="G8" s="671" t="str">
        <f>배점기준!D21</f>
        <v>도로공항</v>
      </c>
      <c r="H8" s="671" t="str">
        <f>배점기준!D22</f>
        <v>토목구조</v>
      </c>
      <c r="I8" s="671" t="str">
        <f>배점기준!D23</f>
        <v>상하수도</v>
      </c>
      <c r="J8" s="671" t="str">
        <f>배점기준!D24</f>
        <v>조경</v>
      </c>
      <c r="K8" s="661" t="s">
        <v>271</v>
      </c>
    </row>
    <row r="9" spans="1:12" ht="20.100000000000001" customHeight="1">
      <c r="A9" s="336"/>
      <c r="B9" s="660"/>
      <c r="C9" s="981"/>
      <c r="D9" s="672" t="s">
        <v>270</v>
      </c>
      <c r="E9" s="762">
        <v>1</v>
      </c>
      <c r="F9" s="763">
        <v>1</v>
      </c>
      <c r="G9" s="763">
        <v>1</v>
      </c>
      <c r="H9" s="763">
        <v>1</v>
      </c>
      <c r="I9" s="763">
        <v>1</v>
      </c>
      <c r="J9" s="764">
        <v>1</v>
      </c>
      <c r="K9" s="984">
        <f>SUM(E11:J11)</f>
        <v>4</v>
      </c>
    </row>
    <row r="10" spans="1:12" ht="20.100000000000001" customHeight="1">
      <c r="A10" s="336"/>
      <c r="B10" s="660"/>
      <c r="C10" s="981"/>
      <c r="D10" s="663" t="s">
        <v>269</v>
      </c>
      <c r="E10" s="673" t="s">
        <v>467</v>
      </c>
      <c r="F10" s="674" t="s">
        <v>466</v>
      </c>
      <c r="G10" s="674" t="s">
        <v>519</v>
      </c>
      <c r="H10" s="674" t="s">
        <v>465</v>
      </c>
      <c r="I10" s="674" t="s">
        <v>466</v>
      </c>
      <c r="J10" s="675" t="s">
        <v>589</v>
      </c>
      <c r="K10" s="984"/>
    </row>
    <row r="11" spans="1:12" ht="20.100000000000001" customHeight="1">
      <c r="A11" s="336"/>
      <c r="B11" s="660"/>
      <c r="C11" s="975"/>
      <c r="D11" s="676" t="s">
        <v>277</v>
      </c>
      <c r="E11" s="765">
        <f>IF(E10="특급",배점기준!$E$19,IF(E10="고급",배점기준!$F$19,IF(E10="중급",배점기준!$G$19,0)))*E9</f>
        <v>1.2</v>
      </c>
      <c r="F11" s="765">
        <f>IF(F10="특급",배점기준!$E$20,IF(F10="고급",배점기준!$F$20,IF(F10="중급",배점기준!$G$20,0)))*F9</f>
        <v>0.4</v>
      </c>
      <c r="G11" s="765">
        <f>IF(G10="특급",배점기준!$E$21,IF(G10="고급",배점기준!$F$21,IF(G10="중급",배점기준!$G$21,0)))*G9</f>
        <v>1</v>
      </c>
      <c r="H11" s="765">
        <f>IF(H10="특급",배점기준!$E$22,IF(H10="고급",배점기준!$F$22,IF(H10="중급",배점기준!$G$22,0)))*H9</f>
        <v>0.4</v>
      </c>
      <c r="I11" s="765">
        <f>IF(I10="특급",배점기준!$E$23,IF(I10="고급",배점기준!$F$23,IF(I10="중급",배점기준!$G$23,0)))*I9</f>
        <v>0.6</v>
      </c>
      <c r="J11" s="765">
        <f>IF(J10="특급",배점기준!$E$24,IF(J10="고급",배점기준!$F$24,IF(J10="중급",배점기준!$G$24,0)))*J9</f>
        <v>0.4</v>
      </c>
      <c r="K11" s="980"/>
    </row>
    <row r="12" spans="1:12" ht="20.100000000000001" customHeight="1">
      <c r="A12" s="336"/>
      <c r="B12" s="660"/>
      <c r="C12" s="976" t="s">
        <v>278</v>
      </c>
      <c r="D12" s="677" t="s">
        <v>270</v>
      </c>
      <c r="E12" s="766">
        <v>1</v>
      </c>
      <c r="F12" s="767">
        <v>1</v>
      </c>
      <c r="G12" s="767">
        <v>1</v>
      </c>
      <c r="H12" s="767">
        <v>1</v>
      </c>
      <c r="I12" s="767">
        <v>1</v>
      </c>
      <c r="J12" s="767">
        <v>1</v>
      </c>
      <c r="K12" s="979">
        <f>SUM(E14:J14)</f>
        <v>4</v>
      </c>
    </row>
    <row r="13" spans="1:12" ht="20.100000000000001" customHeight="1">
      <c r="B13" s="680"/>
      <c r="C13" s="977"/>
      <c r="D13" s="663" t="s">
        <v>269</v>
      </c>
      <c r="E13" s="673" t="s">
        <v>520</v>
      </c>
      <c r="F13" s="674" t="s">
        <v>520</v>
      </c>
      <c r="G13" s="674" t="s">
        <v>466</v>
      </c>
      <c r="H13" s="674" t="s">
        <v>520</v>
      </c>
      <c r="I13" s="674" t="s">
        <v>466</v>
      </c>
      <c r="J13" s="674" t="s">
        <v>273</v>
      </c>
      <c r="K13" s="984"/>
      <c r="L13" s="529"/>
    </row>
    <row r="14" spans="1:12" ht="20.100000000000001" customHeight="1">
      <c r="B14" s="660"/>
      <c r="C14" s="978"/>
      <c r="D14" s="681" t="s">
        <v>277</v>
      </c>
      <c r="E14" s="768">
        <f>IF(E13="특급",배점기준!$E$27,IF(E13="고급",배점기준!$F$27,IF(E13="중급",배점기준!$G$27,0)))*E12</f>
        <v>1.2</v>
      </c>
      <c r="F14" s="769">
        <f>IF(F13="특급",배점기준!$E$28,IF(F13="고급",배점기준!$F$28,IF(F13="중급",배점기준!$G$28,0)))*F12</f>
        <v>0.4</v>
      </c>
      <c r="G14" s="769">
        <f>IF(G13="특급",배점기준!$E$29,IF(G13="고급",배점기준!$F$29,IF(G13="중급",배점기준!$G$29,0)))*G12</f>
        <v>1</v>
      </c>
      <c r="H14" s="769">
        <f>IF(H13="특급",배점기준!$E$30,IF(H13="고급",배점기준!$F$30,IF(H13="중급",배점기준!$G$30,0)))*H12</f>
        <v>0.4</v>
      </c>
      <c r="I14" s="769">
        <f>IF(I13="특급",배점기준!$E$31,IF(I13="고급",배점기준!$F$31,IF(I13="중급",배점기준!$G$31,0)))*I12</f>
        <v>0.6</v>
      </c>
      <c r="J14" s="769">
        <f>IF(J13="특급",배점기준!$E$32,IF(J13="고급",배점기준!$F$32,IF(J13="중급",배점기준!$G$32,0)))*J12</f>
        <v>0.4</v>
      </c>
      <c r="K14" s="980"/>
    </row>
    <row r="15" spans="1:12" ht="20.100000000000001" customHeight="1">
      <c r="B15" s="682"/>
      <c r="C15" s="336"/>
      <c r="D15" s="336"/>
      <c r="E15" s="336"/>
      <c r="F15" s="336"/>
      <c r="G15" s="336"/>
      <c r="H15" s="336"/>
      <c r="I15" s="336"/>
      <c r="J15" s="336"/>
      <c r="K15" s="336"/>
      <c r="L15" s="361"/>
    </row>
    <row r="16" spans="1:12" ht="20.100000000000001" customHeight="1">
      <c r="B16" s="495" t="s">
        <v>412</v>
      </c>
      <c r="C16" s="336"/>
      <c r="D16" s="336"/>
      <c r="E16" s="336"/>
      <c r="F16" s="336"/>
      <c r="G16" s="336"/>
      <c r="H16" s="336"/>
      <c r="I16" s="336"/>
      <c r="J16" s="336"/>
      <c r="K16" s="336"/>
    </row>
    <row r="17" spans="2:16" ht="5.0999999999999996" customHeight="1">
      <c r="B17" s="660"/>
      <c r="C17" s="363"/>
      <c r="D17" s="336"/>
      <c r="E17" s="336"/>
      <c r="F17" s="336"/>
      <c r="G17" s="336"/>
      <c r="H17" s="336"/>
      <c r="I17" s="336"/>
      <c r="J17" s="336"/>
      <c r="K17" s="336"/>
    </row>
    <row r="18" spans="2:16" ht="20.100000000000001" customHeight="1">
      <c r="B18" s="660"/>
      <c r="C18" s="661" t="s">
        <v>267</v>
      </c>
      <c r="D18" s="661" t="s">
        <v>268</v>
      </c>
      <c r="E18" s="661" t="s">
        <v>279</v>
      </c>
      <c r="F18" s="683" t="s">
        <v>271</v>
      </c>
      <c r="G18" s="336"/>
      <c r="H18" s="336"/>
      <c r="I18" s="336"/>
      <c r="J18" s="336"/>
      <c r="K18" s="336"/>
    </row>
    <row r="19" spans="2:16" ht="20.100000000000001" customHeight="1">
      <c r="B19" s="660"/>
      <c r="C19" s="976" t="s">
        <v>272</v>
      </c>
      <c r="D19" s="677" t="s">
        <v>280</v>
      </c>
      <c r="E19" s="684">
        <f>사업책임기술인경력!H14</f>
        <v>1.0027397260273974</v>
      </c>
      <c r="F19" s="685">
        <f>IF(E19&gt;=배점기준!$E$33,배점기준!$E$34,IF(E19&gt;=배점기준!$F$33,배점기준!$F$34,IF(E19&gt;=배점기준!$G$33,배점기준!$G$34,IF(E19&gt;=배점기준!$H$33,배점기준!$H$34,IF(E19&lt;배점기준!$I$33,배점기준!$I$34)))))*F5</f>
        <v>2.4</v>
      </c>
      <c r="G19" s="336"/>
      <c r="H19" s="336"/>
      <c r="I19" s="336"/>
      <c r="J19" s="336"/>
      <c r="K19" s="336"/>
    </row>
    <row r="20" spans="2:16" ht="20.100000000000001" customHeight="1">
      <c r="B20" s="660"/>
      <c r="C20" s="978"/>
      <c r="D20" s="676" t="s">
        <v>281</v>
      </c>
      <c r="E20" s="686">
        <f>'사업책임기술인(000)'!N12</f>
        <v>11.136986301369863</v>
      </c>
      <c r="F20" s="687">
        <f>IF(E20&gt;=배점기준!$E$35,배점기준!$E$36,IF(E20&gt;=배점기준!$F$35,배점기준!$F$36,IF(E20&gt;=배점기준!$G$35,배점기준!$G$36,IF(E20&gt;=배점기준!$H$35,배점기준!$H$36,IF(E20&lt;배점기준!$I$35,배점기준!$I$36)))))*F5</f>
        <v>5</v>
      </c>
      <c r="G20" s="336"/>
      <c r="H20" s="336"/>
      <c r="I20" s="336"/>
      <c r="J20" s="336"/>
      <c r="K20" s="336"/>
    </row>
    <row r="21" spans="2:16" ht="20.100000000000001" customHeight="1">
      <c r="B21" s="660"/>
      <c r="C21" s="981" t="s">
        <v>276</v>
      </c>
      <c r="D21" s="669" t="s">
        <v>268</v>
      </c>
      <c r="E21" s="670" t="str">
        <f t="shared" ref="E21:J21" si="0">E8</f>
        <v>도시계획</v>
      </c>
      <c r="F21" s="670" t="str">
        <f t="shared" si="0"/>
        <v>토질지질</v>
      </c>
      <c r="G21" s="670" t="str">
        <f t="shared" si="0"/>
        <v>도로공항</v>
      </c>
      <c r="H21" s="670" t="str">
        <f t="shared" si="0"/>
        <v>토목구조</v>
      </c>
      <c r="I21" s="670" t="str">
        <f t="shared" si="0"/>
        <v>상하수도</v>
      </c>
      <c r="J21" s="688" t="str">
        <f t="shared" si="0"/>
        <v>조경</v>
      </c>
      <c r="K21" s="661" t="s">
        <v>271</v>
      </c>
    </row>
    <row r="22" spans="2:16" ht="20.100000000000001" customHeight="1">
      <c r="B22" s="660"/>
      <c r="C22" s="981"/>
      <c r="D22" s="677" t="s">
        <v>280</v>
      </c>
      <c r="E22" s="678">
        <v>17.12</v>
      </c>
      <c r="F22" s="679">
        <v>16.489999999999998</v>
      </c>
      <c r="G22" s="679">
        <v>31.46</v>
      </c>
      <c r="H22" s="679">
        <v>21.18</v>
      </c>
      <c r="I22" s="679">
        <v>16.46</v>
      </c>
      <c r="J22" s="689">
        <v>19.559999999999999</v>
      </c>
      <c r="K22" s="982">
        <f>SUM(E23:J23)</f>
        <v>7.0000000000000009</v>
      </c>
      <c r="N22" s="660"/>
      <c r="O22" s="660"/>
    </row>
    <row r="23" spans="2:16" ht="20.100000000000001" customHeight="1">
      <c r="B23" s="660"/>
      <c r="C23" s="981"/>
      <c r="D23" s="676" t="s">
        <v>277</v>
      </c>
      <c r="E23" s="690">
        <f>IF(E22&gt;=배점기준!$E$39,배점기준!$E$41,IF(E22&gt;=배점기준!$F$39,배점기준!$F$41,IF(E22&gt;=배점기준!$G$39,배점기준!$G$41,IF(E22&gt;=배점기준!$H$39,배점기준!$H$41,IF(E22&lt;배점기준!$I$39,배점기준!$I$41)))))*E9</f>
        <v>2.1</v>
      </c>
      <c r="F23" s="691">
        <f>IF(F22&gt;=배점기준!$E$39,배점기준!$E$42,IF(F22&gt;=배점기준!$F$39,배점기준!$F$42,IF(F22&gt;=배점기준!$G$39,배점기준!$G$42,IF(F22&gt;=배점기준!$H$39,배점기준!$H$42,IF(F22&lt;배점기준!$I$39,배점기준!$I$42)))))*F9</f>
        <v>0.70000000000000007</v>
      </c>
      <c r="G23" s="691">
        <f>IF(G22&gt;=배점기준!$E$39,배점기준!$E$43,IF(G22&gt;=배점기준!$F$39,배점기준!$F$43,IF(G22&gt;=배점기준!$G$39,배점기준!$G$43,IF(G22&gt;=배점기준!$H$39,배점기준!$H$43,IF(G22&lt;배점기준!$I$39,배점기준!$I$43)))))*G9</f>
        <v>1.75</v>
      </c>
      <c r="H23" s="691">
        <f>IF(H22&gt;=배점기준!$E$39,배점기준!$E$44,IF(H22&gt;=배점기준!$F$39,배점기준!$F$44,IF(H22&gt;=배점기준!$G$39,배점기준!$G$44,IF(H22&gt;=배점기준!$H$39,배점기준!$H$44,IF(H22&lt;배점기준!$I$39,배점기준!$I$44)))))*H9</f>
        <v>0.70000000000000007</v>
      </c>
      <c r="I23" s="691">
        <f>IF(I22&gt;=배점기준!$E$39,배점기준!$E$45,IF(I22&gt;=배점기준!$F$39,배점기준!$F$45,IF(I22&gt;=배점기준!$G$39,배점기준!$G$45,IF(I22&gt;=배점기준!$H$39,배점기준!$H$45,IF(I22&lt;배점기준!$I$39,배점기준!$I$45)))))*I9</f>
        <v>1.05</v>
      </c>
      <c r="J23" s="691">
        <f>IF(J22&gt;=배점기준!$E$39,배점기준!$E$46,IF(J22&gt;=배점기준!$F$39,배점기준!$F$46,IF(J22&gt;=배점기준!$G$39,배점기준!$G$46,IF(J22&gt;=배점기준!$H$39,배점기준!$H$46,IF(J22&lt;배점기준!$I$39,배점기준!$I$46)))))*J9</f>
        <v>0.70000000000000007</v>
      </c>
      <c r="K23" s="983"/>
      <c r="P23" s="692"/>
    </row>
    <row r="24" spans="2:16" ht="20.100000000000001" customHeight="1">
      <c r="B24" s="660"/>
      <c r="C24" s="981"/>
      <c r="D24" s="677" t="s">
        <v>281</v>
      </c>
      <c r="E24" s="678">
        <f>'도시계획책임(000)'!N8</f>
        <v>4.4602739726027396</v>
      </c>
      <c r="F24" s="678">
        <f>'토질지질책임(000)'!N8</f>
        <v>4.4602739726027396</v>
      </c>
      <c r="G24" s="678">
        <f>'도로공항책임(000)'!N8</f>
        <v>5.9315068493150687</v>
      </c>
      <c r="H24" s="678">
        <f>'토목구조책임(000)'!N8</f>
        <v>4.4602739726027396</v>
      </c>
      <c r="I24" s="678">
        <f>'상하수도분책(000)'!N8</f>
        <v>4.4602739726027396</v>
      </c>
      <c r="J24" s="689">
        <f>'조경분책(000)'!N8</f>
        <v>4.4602739726027396</v>
      </c>
      <c r="K24" s="982">
        <f>SUM(E25:J25)</f>
        <v>6.6</v>
      </c>
    </row>
    <row r="25" spans="2:16" ht="20.100000000000001" customHeight="1">
      <c r="B25" s="680"/>
      <c r="C25" s="975"/>
      <c r="D25" s="676" t="s">
        <v>277</v>
      </c>
      <c r="E25" s="690">
        <f>IF(E24&gt;=배점기준!$E$47,배점기준!$E$49,IF(E24&gt;=배점기준!$F$47,배점기준!$F$49,IF(E24&gt;=배점기준!$G$47,배점기준!$G$49,IF(E24&gt;=배점기준!$H$47,배점기준!$H$49,IF(E24&lt;배점기준!$I$47,배점기준!$I$49)))))*E9</f>
        <v>1.92</v>
      </c>
      <c r="F25" s="691">
        <f>IF(F24&gt;=배점기준!$E$47,배점기준!$E$50,IF(F24&gt;=배점기준!$F$47,배점기준!$F$50,IF(F24&gt;=배점기준!$G$47,배점기준!$G$50,IF(F24&gt;=배점기준!$H$47,배점기준!$H$50,IF(F24&lt;배점기준!$I$47,배점기준!$I$50)))))*F9</f>
        <v>0.64000000000000012</v>
      </c>
      <c r="G25" s="691">
        <f>IF(G24&gt;=배점기준!$E$47,배점기준!$E$51,IF(G24&gt;=배점기준!$F$47,배점기준!$F$51,IF(G24&gt;=배점기준!$G$47,배점기준!$G$51,IF(G24&gt;=배점기준!$H$47,배점기준!$H$51,IF(G24&lt;배점기준!$I$47,배점기준!$I$51)))))*G9</f>
        <v>1.8</v>
      </c>
      <c r="H25" s="691">
        <f>IF(H24&gt;=배점기준!$E$47,배점기준!$E$52,IF(H24&gt;=배점기준!$F$47,배점기준!$F$52,IF(H24&gt;=배점기준!$G$47,배점기준!$G$52,IF(H24&gt;=배점기준!$H$47,배점기준!$H$52,IF(H24&lt;배점기준!$I$47,배점기준!$I$52)))))*H9</f>
        <v>0.64000000000000012</v>
      </c>
      <c r="I25" s="691">
        <f>IF(I24&gt;=배점기준!$E$47,배점기준!$E$53,IF(I24&gt;=배점기준!$F$47,배점기준!$F$53,IF(I24&gt;=배점기준!$G$47,배점기준!$G$53,IF(I24&gt;=배점기준!$H$47,배점기준!$H$53,IF(I24&lt;배점기준!$I$47,배점기준!$I$53)))))*I9</f>
        <v>0.96</v>
      </c>
      <c r="J25" s="691">
        <f>IF(J24&gt;=배점기준!$E$47,배점기준!$E$54,IF(J24&gt;=배점기준!$F$47,배점기준!$F$54,IF(J24&gt;=배점기준!$G$47,배점기준!$G$54,IF(J24&gt;=배점기준!$H$47,배점기준!$H$54,IF(J24&lt;배점기준!$I$47,배점기준!$I$54)))))*J9</f>
        <v>0.64000000000000012</v>
      </c>
      <c r="K25" s="983"/>
      <c r="L25" s="529"/>
    </row>
    <row r="26" spans="2:16" ht="20.100000000000001" customHeight="1">
      <c r="B26" s="682"/>
      <c r="C26" s="976" t="s">
        <v>278</v>
      </c>
      <c r="D26" s="677" t="s">
        <v>280</v>
      </c>
      <c r="E26" s="678">
        <v>27.77</v>
      </c>
      <c r="F26" s="679">
        <v>28.6</v>
      </c>
      <c r="G26" s="679">
        <v>19.309999999999999</v>
      </c>
      <c r="H26" s="693">
        <v>26.9</v>
      </c>
      <c r="I26" s="679">
        <v>16.100000000000001</v>
      </c>
      <c r="J26" s="689">
        <v>19.559999999999999</v>
      </c>
      <c r="K26" s="979">
        <f>SUM(E27:J27)</f>
        <v>5</v>
      </c>
      <c r="L26" s="361"/>
    </row>
    <row r="27" spans="2:16" ht="20.100000000000001" customHeight="1">
      <c r="B27" s="682"/>
      <c r="C27" s="977"/>
      <c r="D27" s="694" t="s">
        <v>277</v>
      </c>
      <c r="E27" s="695">
        <f>IF(E26&gt;=배점기준!$E$55,배점기준!$E$57,IF(E26&gt;=배점기준!$F$55,배점기준!$F$57,IF(E26&gt;=배점기준!$G$55,배점기준!$G$57,IF(E26&gt;=배점기준!$H$55,배점기준!$H$57,배점기준!$I$57))))*E12</f>
        <v>1.5</v>
      </c>
      <c r="F27" s="696">
        <f>IF(F26&gt;=배점기준!$E$55,배점기준!$E$58,IF(F26&gt;=배점기준!$F$55,배점기준!$F$58,IF(F26&gt;=배점기준!$G$55,배점기준!$G$58,IF(F26&gt;=배점기준!$H$55,배점기준!$H$58,배점기준!$I$58))))*F12</f>
        <v>0.5</v>
      </c>
      <c r="G27" s="696">
        <f>IF(G26&gt;=배점기준!$E$55,배점기준!$E$59,IF(G26&gt;=배점기준!$F$55,배점기준!$F$59,IF(G26&gt;=배점기준!$G$55,배점기준!$G$59,IF(G26&gt;=배점기준!$H$55,배점기준!$H$59,배점기준!$I$59))))*G12</f>
        <v>1.25</v>
      </c>
      <c r="H27" s="696">
        <f>IF(H26&gt;=배점기준!$E$55,배점기준!$E$60,IF(H26&gt;=배점기준!$F$55,배점기준!$F$60,IF(H26&gt;=배점기준!$G$55,배점기준!$G$60,IF(H26&gt;=배점기준!$H$55,배점기준!$H$60,배점기준!$I$60))))*H12</f>
        <v>0.5</v>
      </c>
      <c r="I27" s="696">
        <f>IF(I26&gt;=배점기준!$E$55,배점기준!$E$61,IF(I26&gt;=배점기준!$F$55,배점기준!$F$61,IF(I26&gt;=배점기준!$G$55,배점기준!$G$61,IF(I26&gt;=배점기준!$H$55,배점기준!$H$61,배점기준!$I$61))))*I12</f>
        <v>0.75</v>
      </c>
      <c r="J27" s="691">
        <f>IF(J26&gt;=배점기준!$E$55,배점기준!$E$62,IF(J26&gt;=배점기준!$F$55,배점기준!$F$62,IF(J26&gt;=배점기준!$G$55,배점기준!$G$62,IF(J26&gt;=배점기준!$H$55,배점기준!$H$62,배점기준!$I$62))))*J12</f>
        <v>0.5</v>
      </c>
      <c r="K27" s="980"/>
      <c r="L27" s="361"/>
    </row>
    <row r="28" spans="2:16" ht="20.100000000000001" customHeight="1">
      <c r="B28" s="660"/>
      <c r="C28" s="977"/>
      <c r="D28" s="677" t="s">
        <v>281</v>
      </c>
      <c r="E28" s="678">
        <f>'도시계획참여(000)'!N8</f>
        <v>4.4602739726027396</v>
      </c>
      <c r="F28" s="678">
        <f>'토질지질참여(000)'!N8</f>
        <v>4.4602739726027396</v>
      </c>
      <c r="G28" s="678">
        <f>'도로공항참여(000)'!N8</f>
        <v>4.4602739726027396</v>
      </c>
      <c r="H28" s="678">
        <f>'토목구조참여(000)'!N8</f>
        <v>4.4602739726027396</v>
      </c>
      <c r="I28" s="678">
        <f>'상하수도참여(000)'!N8</f>
        <v>4.4602739726027396</v>
      </c>
      <c r="J28" s="678">
        <f>'조경참여(000)'!N8</f>
        <v>4.4602739726027396</v>
      </c>
      <c r="K28" s="979">
        <f>SUM(E29:J29)</f>
        <v>4.5</v>
      </c>
    </row>
    <row r="29" spans="2:16" ht="20.100000000000001" customHeight="1">
      <c r="B29" s="660"/>
      <c r="C29" s="978"/>
      <c r="D29" s="676" t="s">
        <v>277</v>
      </c>
      <c r="E29" s="690">
        <f>IF(E28&gt;=배점기준!$E$63,배점기준!$E$65,IF(E28&gt;=배점기준!$F$63,배점기준!$F$65,IF(E28&gt;=배점기준!$G$63,배점기준!$G$65,IF(E28&gt;=배점기준!$H$63,배점기준!$H$65,IF(E28&lt;배점기준!$I$63,배점기준!$I$65)))))*E12</f>
        <v>1.3499999999999999</v>
      </c>
      <c r="F29" s="691">
        <f>IF(F28&gt;=배점기준!$E$63,배점기준!$E$66,IF(F28&gt;=배점기준!$F$63,배점기준!$F$66,IF(F28&gt;=배점기준!$G$63,배점기준!$G$66,IF(F28&gt;=배점기준!$H$63,배점기준!$H$66,IF(F28&lt;배점기준!$I$63,배점기준!$I$66)))))*F12</f>
        <v>0.45</v>
      </c>
      <c r="G29" s="691">
        <f>IF(G28&gt;=배점기준!$E$63,배점기준!$E$67,IF(G28&gt;=배점기준!$F$63,배점기준!$F$67,IF(G28&gt;=배점기준!$G$63,배점기준!$G$67,IF(G28&gt;=배점기준!$H$63,배점기준!$H$67,IF(G28&lt;배점기준!$I$63,배점기준!$I$67)))))*G12</f>
        <v>1.125</v>
      </c>
      <c r="H29" s="691">
        <f>IF(H28&gt;=배점기준!$E$63,배점기준!$E$68,IF(H28&gt;=배점기준!$F$63,배점기준!$F$68,IF(H28&gt;=배점기준!$G$63,배점기준!$G$68,IF(H28&gt;=배점기준!$H$63,배점기준!$H$68,IF(H28&lt;배점기준!$I$63,배점기준!$I$68)))))*H12</f>
        <v>0.45</v>
      </c>
      <c r="I29" s="691">
        <f>IF(I28&gt;=배점기준!$E$63,배점기준!$E$69,IF(I28&gt;=배점기준!$F$63,배점기준!$F$69,IF(I28&gt;=배점기준!$G$63,배점기준!$G$69,IF(I28&gt;=배점기준!$H$63,배점기준!$H$69,IF(I28&lt;배점기준!$I$63,배점기준!$I$69)))))*I12</f>
        <v>0.67499999999999993</v>
      </c>
      <c r="J29" s="691">
        <f>IF(J28&gt;=배점기준!$E$63,배점기준!$E$70,IF(J28&gt;=배점기준!$F$63,배점기준!$F$70,IF(J28&gt;=배점기준!$G$63,배점기준!$G$70,IF(J28&gt;=배점기준!$H$63,배점기준!$H$70,IF(J28&lt;배점기준!$I$63,배점기준!$I$70)))))*J12</f>
        <v>0.45</v>
      </c>
      <c r="K29" s="980"/>
    </row>
    <row r="30" spans="2:16" ht="20.100000000000001" customHeight="1">
      <c r="B30" s="660"/>
      <c r="C30" s="336"/>
      <c r="D30" s="336"/>
      <c r="E30" s="336"/>
      <c r="F30" s="336"/>
      <c r="G30" s="336"/>
      <c r="H30" s="336"/>
      <c r="I30" s="336"/>
      <c r="J30" s="336"/>
      <c r="K30" s="336"/>
    </row>
    <row r="31" spans="2:16" ht="20.100000000000001" customHeight="1">
      <c r="B31" s="495" t="s">
        <v>266</v>
      </c>
      <c r="C31" s="336"/>
      <c r="D31" s="336"/>
      <c r="E31" s="336"/>
      <c r="F31" s="336"/>
      <c r="G31" s="336"/>
      <c r="H31" s="336"/>
      <c r="I31" s="336"/>
      <c r="J31" s="336"/>
      <c r="K31" s="336"/>
    </row>
    <row r="32" spans="2:16" ht="5.0999999999999996" customHeight="1">
      <c r="B32" s="495"/>
      <c r="C32" s="336"/>
      <c r="D32" s="336"/>
      <c r="E32" s="336"/>
      <c r="F32" s="336"/>
      <c r="G32" s="336"/>
      <c r="H32" s="336"/>
      <c r="I32" s="336"/>
      <c r="J32" s="336"/>
      <c r="K32" s="336"/>
    </row>
    <row r="33" spans="2:11" ht="20.100000000000001" customHeight="1">
      <c r="B33" s="660"/>
      <c r="C33" s="974" t="s">
        <v>282</v>
      </c>
      <c r="D33" s="697" t="s">
        <v>283</v>
      </c>
      <c r="E33" s="698" t="s">
        <v>284</v>
      </c>
      <c r="F33" s="699" t="s">
        <v>271</v>
      </c>
      <c r="G33" s="336"/>
      <c r="H33" s="336"/>
      <c r="I33" s="336"/>
      <c r="J33" s="336"/>
      <c r="K33" s="336"/>
    </row>
    <row r="34" spans="2:11" ht="20.100000000000001" customHeight="1">
      <c r="B34" s="660"/>
      <c r="C34" s="975"/>
      <c r="D34" s="700">
        <v>13</v>
      </c>
      <c r="E34" s="701">
        <v>0</v>
      </c>
      <c r="F34" s="702">
        <f>(D34/배점기준!$E$3+E34/배점기준!$E$3*0.5)</f>
        <v>1</v>
      </c>
      <c r="G34" s="336"/>
      <c r="H34" s="336"/>
      <c r="I34" s="336"/>
      <c r="J34" s="336"/>
      <c r="K34" s="336"/>
    </row>
    <row r="35" spans="2:11" ht="20.100000000000001" customHeight="1">
      <c r="B35" s="336"/>
      <c r="C35" s="974" t="s">
        <v>285</v>
      </c>
      <c r="D35" s="697" t="s">
        <v>286</v>
      </c>
      <c r="E35" s="703" t="s">
        <v>287</v>
      </c>
      <c r="F35" s="703" t="s">
        <v>288</v>
      </c>
      <c r="G35" s="703" t="s">
        <v>326</v>
      </c>
      <c r="H35" s="699" t="s">
        <v>271</v>
      </c>
      <c r="I35" s="336"/>
      <c r="J35" s="336"/>
      <c r="K35" s="336"/>
    </row>
    <row r="36" spans="2:11" ht="20.100000000000001" customHeight="1">
      <c r="C36" s="975"/>
      <c r="D36" s="704"/>
      <c r="E36" s="705"/>
      <c r="F36" s="705"/>
      <c r="G36" s="705"/>
      <c r="H36" s="706">
        <f>D36*E36*F36*G36</f>
        <v>0</v>
      </c>
      <c r="I36" s="336"/>
      <c r="J36" s="336"/>
      <c r="K36" s="336"/>
    </row>
    <row r="37" spans="2:11" ht="20.100000000000001" customHeight="1">
      <c r="C37" s="336"/>
      <c r="D37" s="336"/>
      <c r="E37" s="336"/>
      <c r="F37" s="336"/>
      <c r="G37" s="336"/>
      <c r="H37" s="336"/>
      <c r="I37" s="336"/>
      <c r="J37" s="336"/>
      <c r="K37" s="336"/>
    </row>
  </sheetData>
  <protectedRanges>
    <protectedRange password="CF2F" sqref="E35 E9:J10 I22:J22 E5:F5 E6:E7 E19 G26 E12:J13 I26:J26" name="범위2"/>
    <protectedRange password="CF2F" sqref="E22:F22" name="범위2_1"/>
    <protectedRange password="CF2F" sqref="E26:F26" name="범위2_2"/>
    <protectedRange password="CF2F" sqref="G22:H22" name="범위2_3"/>
    <protectedRange password="CF2F" sqref="H26" name="범위2_4"/>
  </protectedRanges>
  <mergeCells count="14">
    <mergeCell ref="C5:C7"/>
    <mergeCell ref="C21:C25"/>
    <mergeCell ref="C19:C20"/>
    <mergeCell ref="K24:K25"/>
    <mergeCell ref="K22:K23"/>
    <mergeCell ref="K9:K11"/>
    <mergeCell ref="K12:K14"/>
    <mergeCell ref="C8:C11"/>
    <mergeCell ref="C12:C14"/>
    <mergeCell ref="C35:C36"/>
    <mergeCell ref="C33:C34"/>
    <mergeCell ref="C26:C29"/>
    <mergeCell ref="K28:K29"/>
    <mergeCell ref="K26:K27"/>
  </mergeCells>
  <phoneticPr fontId="2" type="noConversion"/>
  <pageMargins left="0.74803149606299213" right="0.74803149606299213" top="0.78740157480314965" bottom="0.78740157480314965" header="0.51181102362204722" footer="0.51181102362204722"/>
  <pageSetup paperSize="9" scale="68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126"/>
  <sheetViews>
    <sheetView view="pageBreakPreview" zoomScaleNormal="85" zoomScaleSheetLayoutView="100" workbookViewId="0">
      <pane xSplit="3" topLeftCell="D1" activePane="topRight" state="frozen"/>
      <selection activeCellId="1" sqref="A2 A1:XFD1048576"/>
      <selection pane="topRight" activeCell="G5" sqref="G5"/>
    </sheetView>
  </sheetViews>
  <sheetFormatPr defaultRowHeight="12" customHeight="1"/>
  <cols>
    <col min="1" max="1" width="3.77734375" style="18" customWidth="1"/>
    <col min="2" max="2" width="40.77734375" style="14" customWidth="1"/>
    <col min="3" max="3" width="15.44140625" style="14" customWidth="1"/>
    <col min="4" max="4" width="13.5546875" style="14" customWidth="1"/>
    <col min="5" max="5" width="10.5546875" style="14" bestFit="1" customWidth="1"/>
    <col min="6" max="6" width="10.5546875" style="14" customWidth="1"/>
    <col min="7" max="7" width="7.88671875" style="17" customWidth="1"/>
    <col min="8" max="8" width="7" style="12" customWidth="1"/>
    <col min="9" max="9" width="7.33203125" style="10" customWidth="1"/>
    <col min="10" max="16384" width="8.88671875" style="10"/>
  </cols>
  <sheetData>
    <row r="1" spans="1:13" s="7" customFormat="1" ht="50.25" customHeight="1">
      <c r="A1" s="95"/>
      <c r="B1" s="96" t="s">
        <v>683</v>
      </c>
      <c r="C1" s="98" t="s">
        <v>608</v>
      </c>
      <c r="D1" s="95"/>
      <c r="E1" s="96"/>
      <c r="F1" s="96"/>
      <c r="G1" s="3"/>
      <c r="H1" s="4"/>
      <c r="I1" s="6"/>
    </row>
    <row r="2" spans="1:13" s="6" customFormat="1" ht="9" customHeight="1" thickBot="1">
      <c r="A2" s="95"/>
      <c r="B2" s="96"/>
      <c r="C2" s="95"/>
      <c r="D2" s="95"/>
      <c r="E2" s="96"/>
      <c r="F2" s="96"/>
      <c r="G2" s="3"/>
      <c r="H2" s="4"/>
    </row>
    <row r="3" spans="1:13" s="8" customFormat="1" ht="33" customHeight="1">
      <c r="A3" s="992" t="s">
        <v>596</v>
      </c>
      <c r="B3" s="994" t="s">
        <v>597</v>
      </c>
      <c r="C3" s="996" t="s">
        <v>598</v>
      </c>
      <c r="D3" s="997"/>
      <c r="E3" s="998"/>
      <c r="F3" s="999" t="s">
        <v>599</v>
      </c>
      <c r="G3" s="1001" t="s">
        <v>600</v>
      </c>
      <c r="H3" s="1001" t="s">
        <v>601</v>
      </c>
      <c r="I3" s="987" t="s">
        <v>602</v>
      </c>
    </row>
    <row r="4" spans="1:13" s="8" customFormat="1" ht="33" customHeight="1">
      <c r="A4" s="993"/>
      <c r="B4" s="995"/>
      <c r="C4" s="178" t="s">
        <v>603</v>
      </c>
      <c r="D4" s="178" t="s">
        <v>604</v>
      </c>
      <c r="E4" s="174" t="s">
        <v>605</v>
      </c>
      <c r="F4" s="1000"/>
      <c r="G4" s="1002"/>
      <c r="H4" s="1002"/>
      <c r="I4" s="988"/>
    </row>
    <row r="5" spans="1:13" s="51" customFormat="1" ht="33" customHeight="1">
      <c r="A5" s="52">
        <f>ROW()-4</f>
        <v>1</v>
      </c>
      <c r="B5" s="193" t="s">
        <v>609</v>
      </c>
      <c r="C5" s="175">
        <v>31572</v>
      </c>
      <c r="D5" s="658">
        <v>32308</v>
      </c>
      <c r="E5" s="150">
        <f t="shared" ref="E5" si="0">IF(D5-C5+1&gt;=2*365,2*365,D5-C5+1)</f>
        <v>730</v>
      </c>
      <c r="F5" s="188">
        <v>366</v>
      </c>
      <c r="G5" s="176">
        <v>1</v>
      </c>
      <c r="H5" s="192">
        <f t="shared" ref="H5" si="1">F5*G5</f>
        <v>366</v>
      </c>
      <c r="I5" s="177"/>
    </row>
    <row r="6" spans="1:13" s="51" customFormat="1" ht="33" customHeight="1">
      <c r="A6" s="52">
        <f t="shared" ref="A6:A13" si="2">ROW()-4</f>
        <v>2</v>
      </c>
      <c r="B6" s="193"/>
      <c r="C6" s="175"/>
      <c r="D6" s="658"/>
      <c r="E6" s="150"/>
      <c r="F6" s="188"/>
      <c r="G6" s="176"/>
      <c r="H6" s="192"/>
      <c r="I6" s="177"/>
    </row>
    <row r="7" spans="1:13" s="51" customFormat="1" ht="33" customHeight="1">
      <c r="A7" s="52">
        <f t="shared" si="2"/>
        <v>3</v>
      </c>
      <c r="B7" s="193"/>
      <c r="C7" s="175"/>
      <c r="D7" s="658"/>
      <c r="E7" s="150"/>
      <c r="F7" s="188"/>
      <c r="G7" s="176"/>
      <c r="H7" s="192"/>
      <c r="I7" s="177"/>
    </row>
    <row r="8" spans="1:13" s="51" customFormat="1" ht="33" customHeight="1">
      <c r="A8" s="52">
        <f t="shared" si="2"/>
        <v>4</v>
      </c>
      <c r="B8" s="193"/>
      <c r="C8" s="175"/>
      <c r="D8" s="658"/>
      <c r="E8" s="150"/>
      <c r="F8" s="188"/>
      <c r="G8" s="176"/>
      <c r="H8" s="192"/>
      <c r="I8" s="177"/>
    </row>
    <row r="9" spans="1:13" s="51" customFormat="1" ht="33" customHeight="1">
      <c r="A9" s="52">
        <f t="shared" si="2"/>
        <v>5</v>
      </c>
      <c r="B9" s="193"/>
      <c r="C9" s="175"/>
      <c r="D9" s="658"/>
      <c r="E9" s="150"/>
      <c r="F9" s="188"/>
      <c r="G9" s="176"/>
      <c r="H9" s="192"/>
      <c r="I9" s="177"/>
    </row>
    <row r="10" spans="1:13" s="51" customFormat="1" ht="33" customHeight="1">
      <c r="A10" s="52">
        <f t="shared" si="2"/>
        <v>6</v>
      </c>
      <c r="B10" s="193"/>
      <c r="C10" s="175"/>
      <c r="D10" s="658"/>
      <c r="E10" s="150"/>
      <c r="F10" s="188"/>
      <c r="G10" s="176"/>
      <c r="H10" s="192"/>
      <c r="I10" s="177"/>
    </row>
    <row r="11" spans="1:13" s="51" customFormat="1" ht="33" customHeight="1">
      <c r="A11" s="52">
        <f t="shared" si="2"/>
        <v>7</v>
      </c>
      <c r="B11" s="193"/>
      <c r="C11" s="175"/>
      <c r="D11" s="658"/>
      <c r="E11" s="150"/>
      <c r="F11" s="188"/>
      <c r="G11" s="176"/>
      <c r="H11" s="192"/>
      <c r="I11" s="177"/>
    </row>
    <row r="12" spans="1:13" s="51" customFormat="1" ht="33" customHeight="1">
      <c r="A12" s="52">
        <f t="shared" si="2"/>
        <v>8</v>
      </c>
      <c r="B12" s="193"/>
      <c r="C12" s="175"/>
      <c r="D12" s="658"/>
      <c r="E12" s="150"/>
      <c r="F12" s="188"/>
      <c r="G12" s="176"/>
      <c r="H12" s="192"/>
      <c r="I12" s="177"/>
    </row>
    <row r="13" spans="1:13" s="51" customFormat="1" ht="33" customHeight="1">
      <c r="A13" s="52">
        <f t="shared" si="2"/>
        <v>9</v>
      </c>
      <c r="B13" s="193"/>
      <c r="C13" s="175"/>
      <c r="D13" s="658"/>
      <c r="E13" s="150"/>
      <c r="F13" s="188"/>
      <c r="G13" s="176"/>
      <c r="H13" s="192"/>
      <c r="I13" s="177"/>
    </row>
    <row r="14" spans="1:13" s="49" customFormat="1" ht="33" customHeight="1" thickBot="1">
      <c r="A14" s="989" t="s">
        <v>606</v>
      </c>
      <c r="B14" s="990"/>
      <c r="C14" s="990"/>
      <c r="D14" s="990"/>
      <c r="E14" s="990"/>
      <c r="F14" s="990"/>
      <c r="G14" s="991"/>
      <c r="H14" s="659">
        <f>(SUM(H5:H13))/365</f>
        <v>1.0027397260273974</v>
      </c>
      <c r="I14" s="183" t="s">
        <v>607</v>
      </c>
    </row>
    <row r="15" spans="1:13" s="57" customFormat="1" ht="20.100000000000001" customHeight="1">
      <c r="A15" s="199" t="s">
        <v>666</v>
      </c>
      <c r="B15" s="985" t="s">
        <v>686</v>
      </c>
      <c r="C15" s="985"/>
      <c r="D15" s="985"/>
      <c r="E15" s="985"/>
      <c r="F15" s="985"/>
      <c r="G15" s="985"/>
      <c r="H15" s="985"/>
      <c r="I15" s="985"/>
      <c r="J15" s="985"/>
      <c r="K15" s="985"/>
      <c r="L15" s="985"/>
      <c r="M15" s="985"/>
    </row>
    <row r="16" spans="1:13" s="36" customFormat="1" ht="20.100000000000001" customHeight="1">
      <c r="A16" s="200" t="s">
        <v>668</v>
      </c>
      <c r="B16" s="39" t="s">
        <v>687</v>
      </c>
      <c r="C16" s="39"/>
      <c r="D16" s="39"/>
      <c r="E16" s="39"/>
      <c r="F16" s="39"/>
      <c r="G16" s="39"/>
      <c r="H16" s="201"/>
      <c r="I16" s="201"/>
      <c r="J16" s="202"/>
      <c r="K16" s="202"/>
      <c r="L16" s="202"/>
      <c r="M16" s="203"/>
    </row>
    <row r="17" spans="1:20" s="34" customFormat="1" ht="20.100000000000001" customHeight="1">
      <c r="A17" s="199" t="s">
        <v>669</v>
      </c>
      <c r="B17" s="39" t="s">
        <v>0</v>
      </c>
      <c r="C17" s="39"/>
      <c r="D17" s="39"/>
      <c r="E17" s="39"/>
      <c r="F17" s="204"/>
      <c r="G17" s="204"/>
      <c r="H17" s="204"/>
      <c r="I17" s="204"/>
      <c r="J17" s="201"/>
      <c r="K17" s="201"/>
      <c r="L17" s="201"/>
      <c r="M17" s="205"/>
    </row>
    <row r="18" spans="1:20" s="34" customFormat="1" ht="20.100000000000001" customHeight="1">
      <c r="A18" s="200" t="s">
        <v>670</v>
      </c>
      <c r="B18" s="206" t="s">
        <v>664</v>
      </c>
      <c r="C18" s="206"/>
      <c r="D18" s="206"/>
      <c r="E18" s="206"/>
      <c r="F18" s="206"/>
      <c r="G18" s="206"/>
      <c r="H18" s="204"/>
      <c r="I18" s="204"/>
      <c r="J18" s="201"/>
      <c r="K18" s="201"/>
      <c r="L18" s="201"/>
      <c r="M18" s="205"/>
    </row>
    <row r="19" spans="1:20" s="34" customFormat="1" ht="20.100000000000001" customHeight="1">
      <c r="A19" s="199" t="s">
        <v>671</v>
      </c>
      <c r="B19" s="205" t="s">
        <v>1</v>
      </c>
      <c r="C19" s="39"/>
      <c r="D19" s="39"/>
      <c r="E19" s="39"/>
      <c r="F19" s="204"/>
      <c r="G19" s="204"/>
      <c r="H19" s="204"/>
      <c r="I19" s="204"/>
      <c r="J19" s="201"/>
      <c r="K19" s="201"/>
      <c r="L19" s="201"/>
      <c r="M19" s="205"/>
    </row>
    <row r="20" spans="1:20" s="34" customFormat="1" ht="20.100000000000001" customHeight="1">
      <c r="A20" s="200" t="s">
        <v>672</v>
      </c>
      <c r="B20" s="39" t="s">
        <v>688</v>
      </c>
      <c r="C20" s="39"/>
      <c r="D20" s="39"/>
      <c r="E20" s="39"/>
      <c r="F20" s="204"/>
      <c r="G20" s="204"/>
      <c r="H20" s="204"/>
      <c r="I20" s="204"/>
      <c r="J20" s="201"/>
      <c r="K20" s="201"/>
      <c r="L20" s="201"/>
      <c r="M20" s="205"/>
    </row>
    <row r="21" spans="1:20" s="36" customFormat="1" ht="20.100000000000001" customHeight="1">
      <c r="A21" s="199" t="s">
        <v>673</v>
      </c>
      <c r="B21" s="39" t="s">
        <v>684</v>
      </c>
      <c r="C21" s="39"/>
      <c r="D21" s="39"/>
      <c r="E21" s="39"/>
      <c r="F21" s="39"/>
      <c r="G21" s="39"/>
      <c r="H21" s="201"/>
      <c r="I21" s="201"/>
      <c r="J21" s="202"/>
      <c r="K21" s="202"/>
      <c r="L21" s="202"/>
      <c r="M21" s="203"/>
    </row>
    <row r="22" spans="1:20" s="36" customFormat="1" ht="20.100000000000001" customHeight="1">
      <c r="A22" s="200" t="s">
        <v>674</v>
      </c>
      <c r="B22" s="986" t="s">
        <v>685</v>
      </c>
      <c r="C22" s="986"/>
      <c r="D22" s="986"/>
      <c r="E22" s="986"/>
      <c r="F22" s="986"/>
      <c r="G22" s="986"/>
      <c r="H22" s="986"/>
      <c r="I22" s="986"/>
      <c r="J22" s="986"/>
      <c r="K22" s="986"/>
      <c r="L22" s="986"/>
      <c r="M22" s="986"/>
    </row>
    <row r="23" spans="1:20" s="57" customFormat="1" ht="20.100000000000001" customHeight="1">
      <c r="A23" s="35"/>
      <c r="B23" s="35"/>
      <c r="C23" s="35"/>
      <c r="D23" s="35"/>
      <c r="E23" s="35"/>
      <c r="F23" s="35"/>
      <c r="G23" s="59"/>
      <c r="H23" s="60"/>
    </row>
    <row r="24" spans="1:20" ht="20.100000000000001" customHeight="1">
      <c r="B24" s="26"/>
      <c r="C24" s="26"/>
      <c r="D24" s="26"/>
      <c r="E24" s="26"/>
      <c r="F24" s="26"/>
    </row>
    <row r="25" spans="1:20" s="38" customFormat="1" ht="20.100000000000001" customHeight="1">
      <c r="A25" s="18"/>
      <c r="B25" s="14"/>
      <c r="C25" s="19"/>
      <c r="D25" s="19"/>
      <c r="E25" s="19"/>
      <c r="F25" s="19"/>
      <c r="G25" s="17"/>
      <c r="H25" s="12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8" customFormat="1" ht="20.100000000000001" customHeight="1">
      <c r="A26" s="18"/>
      <c r="B26" s="14"/>
      <c r="C26" s="19"/>
      <c r="D26" s="19"/>
      <c r="E26" s="19"/>
      <c r="F26" s="19"/>
      <c r="G26" s="17"/>
      <c r="H26" s="1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8" customFormat="1" ht="20.100000000000001" customHeight="1">
      <c r="A27" s="18"/>
      <c r="B27" s="14"/>
      <c r="C27" s="19"/>
      <c r="D27" s="19"/>
      <c r="E27" s="19"/>
      <c r="F27" s="19"/>
      <c r="G27" s="17"/>
      <c r="H27" s="12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8" customFormat="1" ht="20.100000000000001" customHeight="1">
      <c r="A28" s="18"/>
      <c r="B28" s="14"/>
      <c r="C28" s="19"/>
      <c r="D28" s="19"/>
      <c r="E28" s="19"/>
      <c r="F28" s="19"/>
      <c r="G28" s="17"/>
      <c r="H28" s="12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8" customFormat="1" ht="20.100000000000001" customHeight="1">
      <c r="A29" s="18"/>
      <c r="B29" s="14"/>
      <c r="C29" s="19"/>
      <c r="D29" s="19"/>
      <c r="E29" s="19"/>
      <c r="F29" s="19"/>
      <c r="G29" s="17"/>
      <c r="H29" s="12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8" customFormat="1" ht="20.100000000000001" customHeight="1">
      <c r="A30" s="18"/>
      <c r="B30" s="14"/>
      <c r="C30" s="19"/>
      <c r="D30" s="19"/>
      <c r="E30" s="19"/>
      <c r="F30" s="19"/>
      <c r="G30" s="17"/>
      <c r="H30" s="12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8" customFormat="1" ht="12" customHeight="1">
      <c r="A31" s="18"/>
      <c r="B31" s="14"/>
      <c r="C31" s="19"/>
      <c r="D31" s="19"/>
      <c r="E31" s="19"/>
      <c r="F31" s="19"/>
      <c r="G31" s="17"/>
      <c r="H31" s="12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8" customFormat="1" ht="12" customHeight="1">
      <c r="A32" s="18"/>
      <c r="B32" s="14"/>
      <c r="C32" s="19"/>
      <c r="D32" s="19"/>
      <c r="E32" s="19"/>
      <c r="F32" s="19"/>
      <c r="G32" s="17"/>
      <c r="H32" s="12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8" customFormat="1" ht="12" customHeight="1">
      <c r="A33" s="18"/>
      <c r="B33" s="14"/>
      <c r="C33" s="19"/>
      <c r="D33" s="19"/>
      <c r="E33" s="19"/>
      <c r="F33" s="19"/>
      <c r="G33" s="17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8" customFormat="1" ht="12" customHeight="1">
      <c r="A34" s="18"/>
      <c r="B34" s="14"/>
      <c r="C34" s="19"/>
      <c r="D34" s="19"/>
      <c r="E34" s="19"/>
      <c r="F34" s="19"/>
      <c r="G34" s="17"/>
      <c r="H34" s="12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8" customFormat="1" ht="12" customHeight="1">
      <c r="A35" s="18"/>
      <c r="B35" s="14"/>
      <c r="C35" s="19"/>
      <c r="D35" s="19"/>
      <c r="E35" s="19"/>
      <c r="F35" s="19"/>
      <c r="G35" s="17"/>
      <c r="H35" s="1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8" customFormat="1" ht="12" customHeight="1">
      <c r="A36" s="18"/>
      <c r="B36" s="14"/>
      <c r="C36" s="19"/>
      <c r="D36" s="19"/>
      <c r="E36" s="19"/>
      <c r="F36" s="19"/>
      <c r="G36" s="17"/>
      <c r="H36" s="12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8" customFormat="1" ht="12" customHeight="1">
      <c r="A37" s="18"/>
      <c r="B37" s="14"/>
      <c r="C37" s="19"/>
      <c r="D37" s="19"/>
      <c r="E37" s="19"/>
      <c r="F37" s="19"/>
      <c r="G37" s="17"/>
      <c r="H37" s="1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8" customFormat="1" ht="12" customHeight="1">
      <c r="A38" s="18"/>
      <c r="B38" s="14"/>
      <c r="C38" s="19"/>
      <c r="D38" s="19"/>
      <c r="E38" s="19"/>
      <c r="F38" s="19"/>
      <c r="G38" s="17"/>
      <c r="H38" s="12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8" customFormat="1" ht="12" customHeight="1">
      <c r="A39" s="18"/>
      <c r="B39" s="14"/>
      <c r="C39" s="19"/>
      <c r="D39" s="19"/>
      <c r="E39" s="19"/>
      <c r="F39" s="19"/>
      <c r="G39" s="17"/>
      <c r="H39" s="12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8" customFormat="1" ht="12" customHeight="1">
      <c r="A40" s="18"/>
      <c r="B40" s="14"/>
      <c r="C40" s="19"/>
      <c r="D40" s="19"/>
      <c r="E40" s="19"/>
      <c r="F40" s="19"/>
      <c r="G40" s="17"/>
      <c r="H40" s="12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8" customFormat="1" ht="12" customHeight="1">
      <c r="A41" s="18"/>
      <c r="B41" s="14"/>
      <c r="C41" s="19"/>
      <c r="D41" s="19"/>
      <c r="E41" s="19"/>
      <c r="F41" s="19"/>
      <c r="G41" s="17"/>
      <c r="H41" s="12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8" customFormat="1" ht="12" customHeight="1">
      <c r="A42" s="18"/>
      <c r="B42" s="14"/>
      <c r="C42" s="19"/>
      <c r="D42" s="19"/>
      <c r="E42" s="19"/>
      <c r="F42" s="19"/>
      <c r="G42" s="17"/>
      <c r="H42" s="12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8" customFormat="1" ht="12" customHeight="1">
      <c r="A43" s="18"/>
      <c r="B43" s="14"/>
      <c r="C43" s="19"/>
      <c r="D43" s="19"/>
      <c r="E43" s="19"/>
      <c r="F43" s="19"/>
      <c r="G43" s="17"/>
      <c r="H43" s="12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8" customFormat="1" ht="12" customHeight="1">
      <c r="A44" s="18"/>
      <c r="B44" s="14"/>
      <c r="C44" s="19"/>
      <c r="D44" s="19"/>
      <c r="E44" s="19"/>
      <c r="F44" s="19"/>
      <c r="G44" s="17"/>
      <c r="H44" s="12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8" customFormat="1" ht="12" customHeight="1">
      <c r="A45" s="18"/>
      <c r="B45" s="14"/>
      <c r="C45" s="19"/>
      <c r="D45" s="19"/>
      <c r="E45" s="19"/>
      <c r="F45" s="19"/>
      <c r="G45" s="17"/>
      <c r="H45" s="12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8" customFormat="1" ht="12" customHeight="1">
      <c r="A46" s="18"/>
      <c r="B46" s="14"/>
      <c r="C46" s="19"/>
      <c r="D46" s="19"/>
      <c r="E46" s="19"/>
      <c r="F46" s="19"/>
      <c r="G46" s="17"/>
      <c r="H46" s="1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8" customFormat="1" ht="12" customHeight="1">
      <c r="A47" s="18"/>
      <c r="B47" s="14"/>
      <c r="C47" s="19"/>
      <c r="D47" s="19"/>
      <c r="E47" s="19"/>
      <c r="F47" s="19"/>
      <c r="G47" s="17"/>
      <c r="H47" s="12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8" customFormat="1" ht="12" customHeight="1">
      <c r="A48" s="18"/>
      <c r="B48" s="14"/>
      <c r="C48" s="19"/>
      <c r="D48" s="19"/>
      <c r="E48" s="19"/>
      <c r="F48" s="19"/>
      <c r="G48" s="17"/>
      <c r="H48" s="12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8" customFormat="1" ht="12" customHeight="1">
      <c r="A49" s="18"/>
      <c r="B49" s="14"/>
      <c r="C49" s="19"/>
      <c r="D49" s="19"/>
      <c r="E49" s="19"/>
      <c r="F49" s="19"/>
      <c r="G49" s="17"/>
      <c r="H49" s="12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8" customFormat="1" ht="12" customHeight="1">
      <c r="A50" s="18"/>
      <c r="B50" s="14"/>
      <c r="C50" s="19"/>
      <c r="D50" s="19"/>
      <c r="E50" s="19"/>
      <c r="F50" s="19"/>
      <c r="G50" s="17"/>
      <c r="H50" s="1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8" customFormat="1" ht="12" customHeight="1">
      <c r="A51" s="18"/>
      <c r="B51" s="14"/>
      <c r="C51" s="19"/>
      <c r="D51" s="19"/>
      <c r="E51" s="19"/>
      <c r="F51" s="19"/>
      <c r="G51" s="17"/>
      <c r="H51" s="12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8" customFormat="1" ht="12" customHeight="1">
      <c r="A52" s="18"/>
      <c r="B52" s="14"/>
      <c r="C52" s="19"/>
      <c r="D52" s="19"/>
      <c r="E52" s="19"/>
      <c r="F52" s="19"/>
      <c r="G52" s="17"/>
      <c r="H52" s="12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8" customFormat="1" ht="12" customHeight="1">
      <c r="A53" s="18"/>
      <c r="B53" s="14"/>
      <c r="C53" s="19"/>
      <c r="D53" s="19"/>
      <c r="E53" s="19"/>
      <c r="F53" s="19"/>
      <c r="G53" s="17"/>
      <c r="H53" s="12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8" customFormat="1" ht="12" customHeight="1">
      <c r="A54" s="18"/>
      <c r="B54" s="14"/>
      <c r="C54" s="19"/>
      <c r="D54" s="19"/>
      <c r="E54" s="19"/>
      <c r="F54" s="19"/>
      <c r="G54" s="17"/>
      <c r="H54" s="1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8" customFormat="1" ht="12" customHeight="1">
      <c r="A55" s="18"/>
      <c r="B55" s="14"/>
      <c r="C55" s="19"/>
      <c r="D55" s="19"/>
      <c r="E55" s="19"/>
      <c r="F55" s="19"/>
      <c r="G55" s="17"/>
      <c r="H55" s="12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8" customFormat="1" ht="12" customHeight="1">
      <c r="A56" s="18"/>
      <c r="B56" s="14"/>
      <c r="C56" s="19"/>
      <c r="D56" s="19"/>
      <c r="E56" s="19"/>
      <c r="F56" s="19"/>
      <c r="G56" s="17"/>
      <c r="H56" s="12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8" customFormat="1" ht="12" customHeight="1">
      <c r="A57" s="18"/>
      <c r="B57" s="14"/>
      <c r="C57" s="19"/>
      <c r="D57" s="19"/>
      <c r="E57" s="19"/>
      <c r="F57" s="19"/>
      <c r="G57" s="17"/>
      <c r="H57" s="12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8" customFormat="1" ht="12" customHeight="1">
      <c r="A58" s="18"/>
      <c r="B58" s="14"/>
      <c r="C58" s="19"/>
      <c r="D58" s="19"/>
      <c r="E58" s="19"/>
      <c r="F58" s="19"/>
      <c r="G58" s="17"/>
      <c r="H58" s="1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8" customFormat="1" ht="12" customHeight="1">
      <c r="A59" s="18"/>
      <c r="B59" s="14"/>
      <c r="C59" s="19"/>
      <c r="D59" s="19"/>
      <c r="E59" s="19"/>
      <c r="F59" s="19"/>
      <c r="G59" s="17"/>
      <c r="H59" s="12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8" customFormat="1" ht="12" customHeight="1">
      <c r="A60" s="18"/>
      <c r="B60" s="14"/>
      <c r="C60" s="19"/>
      <c r="D60" s="19"/>
      <c r="E60" s="19"/>
      <c r="F60" s="19"/>
      <c r="G60" s="17"/>
      <c r="H60" s="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8" customFormat="1" ht="12" customHeight="1">
      <c r="A61" s="18"/>
      <c r="B61" s="14"/>
      <c r="C61" s="19"/>
      <c r="D61" s="19"/>
      <c r="E61" s="19"/>
      <c r="F61" s="19"/>
      <c r="G61" s="17"/>
      <c r="H61" s="12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8" customFormat="1" ht="12" customHeight="1">
      <c r="A62" s="18"/>
      <c r="B62" s="14"/>
      <c r="C62" s="19"/>
      <c r="D62" s="19"/>
      <c r="E62" s="19"/>
      <c r="F62" s="19"/>
      <c r="G62" s="17"/>
      <c r="H62" s="1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8" customFormat="1" ht="12" customHeight="1">
      <c r="A63" s="18"/>
      <c r="B63" s="14"/>
      <c r="C63" s="19"/>
      <c r="D63" s="19"/>
      <c r="E63" s="19"/>
      <c r="F63" s="19"/>
      <c r="G63" s="17"/>
      <c r="H63" s="12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8" customFormat="1" ht="12" customHeight="1">
      <c r="A64" s="18"/>
      <c r="B64" s="14"/>
      <c r="C64" s="19"/>
      <c r="D64" s="19"/>
      <c r="E64" s="19"/>
      <c r="F64" s="19"/>
      <c r="G64" s="17"/>
      <c r="H64" s="12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8" customFormat="1" ht="12" customHeight="1">
      <c r="A65" s="18"/>
      <c r="B65" s="14"/>
      <c r="C65" s="19"/>
      <c r="D65" s="19"/>
      <c r="E65" s="19"/>
      <c r="F65" s="19"/>
      <c r="G65" s="17"/>
      <c r="H65" s="1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8" customFormat="1" ht="12" customHeight="1">
      <c r="A66" s="18"/>
      <c r="B66" s="14"/>
      <c r="C66" s="19"/>
      <c r="D66" s="19"/>
      <c r="E66" s="19"/>
      <c r="F66" s="19"/>
      <c r="G66" s="17"/>
      <c r="H66" s="1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8" customFormat="1" ht="12" customHeight="1">
      <c r="A67" s="18"/>
      <c r="B67" s="14"/>
      <c r="C67" s="19"/>
      <c r="D67" s="19"/>
      <c r="E67" s="19"/>
      <c r="F67" s="19"/>
      <c r="G67" s="17"/>
      <c r="H67" s="12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8" customFormat="1" ht="12" customHeight="1">
      <c r="A68" s="18"/>
      <c r="B68" s="14"/>
      <c r="C68" s="19"/>
      <c r="D68" s="19"/>
      <c r="E68" s="19"/>
      <c r="F68" s="19"/>
      <c r="G68" s="17"/>
      <c r="H68" s="12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8" customFormat="1" ht="12" customHeight="1">
      <c r="A69" s="18"/>
      <c r="B69" s="14"/>
      <c r="C69" s="19"/>
      <c r="D69" s="19"/>
      <c r="E69" s="19"/>
      <c r="F69" s="19"/>
      <c r="G69" s="17"/>
      <c r="H69" s="12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8" customFormat="1" ht="12" customHeight="1">
      <c r="A70" s="18"/>
      <c r="B70" s="14"/>
      <c r="C70" s="19"/>
      <c r="D70" s="19"/>
      <c r="E70" s="19"/>
      <c r="F70" s="19"/>
      <c r="G70" s="17"/>
      <c r="H70" s="1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8" customFormat="1" ht="12" customHeight="1">
      <c r="A71" s="18"/>
      <c r="B71" s="14"/>
      <c r="C71" s="19"/>
      <c r="D71" s="19"/>
      <c r="E71" s="19"/>
      <c r="F71" s="19"/>
      <c r="G71" s="17"/>
      <c r="H71" s="12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8" customFormat="1" ht="12" customHeight="1">
      <c r="A72" s="18"/>
      <c r="B72" s="14"/>
      <c r="C72" s="19"/>
      <c r="D72" s="19"/>
      <c r="E72" s="19"/>
      <c r="F72" s="19"/>
      <c r="G72" s="17"/>
      <c r="H72" s="1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8" customFormat="1" ht="12" customHeight="1">
      <c r="A73" s="18"/>
      <c r="B73" s="14"/>
      <c r="C73" s="19"/>
      <c r="D73" s="19"/>
      <c r="E73" s="19"/>
      <c r="F73" s="19"/>
      <c r="G73" s="17"/>
      <c r="H73" s="12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8" customFormat="1" ht="12" customHeight="1">
      <c r="A74" s="18"/>
      <c r="B74" s="14"/>
      <c r="C74" s="19"/>
      <c r="D74" s="19"/>
      <c r="E74" s="19"/>
      <c r="F74" s="19"/>
      <c r="G74" s="17"/>
      <c r="H74" s="1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8" customFormat="1" ht="12" customHeight="1">
      <c r="A75" s="18"/>
      <c r="B75" s="14"/>
      <c r="C75" s="19"/>
      <c r="D75" s="19"/>
      <c r="E75" s="19"/>
      <c r="F75" s="19"/>
      <c r="G75" s="17"/>
      <c r="H75" s="12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8" customFormat="1" ht="12" customHeight="1">
      <c r="A76" s="18"/>
      <c r="B76" s="14"/>
      <c r="C76" s="19"/>
      <c r="D76" s="19"/>
      <c r="E76" s="19"/>
      <c r="F76" s="19"/>
      <c r="G76" s="17"/>
      <c r="H76" s="12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8" customFormat="1" ht="12" customHeight="1">
      <c r="A77" s="18"/>
      <c r="B77" s="14"/>
      <c r="C77" s="19"/>
      <c r="D77" s="19"/>
      <c r="E77" s="19"/>
      <c r="F77" s="19"/>
      <c r="G77" s="17"/>
      <c r="H77" s="12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8" customFormat="1" ht="12" customHeight="1">
      <c r="A78" s="18"/>
      <c r="B78" s="14"/>
      <c r="C78" s="19"/>
      <c r="D78" s="19"/>
      <c r="E78" s="19"/>
      <c r="F78" s="19"/>
      <c r="G78" s="17"/>
      <c r="H78" s="1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8" customFormat="1" ht="12" customHeight="1">
      <c r="A79" s="18"/>
      <c r="B79" s="14"/>
      <c r="C79" s="19"/>
      <c r="D79" s="19"/>
      <c r="E79" s="19"/>
      <c r="F79" s="19"/>
      <c r="G79" s="17"/>
      <c r="H79" s="1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8" customFormat="1" ht="12" customHeight="1">
      <c r="A80" s="18"/>
      <c r="B80" s="14"/>
      <c r="C80" s="19"/>
      <c r="D80" s="19"/>
      <c r="E80" s="19"/>
      <c r="F80" s="19"/>
      <c r="G80" s="17"/>
      <c r="H80" s="12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8" customFormat="1" ht="12" customHeight="1">
      <c r="A81" s="18"/>
      <c r="B81" s="14"/>
      <c r="C81" s="19"/>
      <c r="D81" s="19"/>
      <c r="E81" s="19"/>
      <c r="F81" s="19"/>
      <c r="G81" s="17"/>
      <c r="H81" s="12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8" customFormat="1" ht="12" customHeight="1">
      <c r="A82" s="18"/>
      <c r="B82" s="14"/>
      <c r="C82" s="19"/>
      <c r="D82" s="19"/>
      <c r="E82" s="19"/>
      <c r="F82" s="19"/>
      <c r="G82" s="17"/>
      <c r="H82" s="1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8" customFormat="1" ht="12" customHeight="1">
      <c r="A83" s="18"/>
      <c r="B83" s="14"/>
      <c r="C83" s="19"/>
      <c r="D83" s="19"/>
      <c r="E83" s="19"/>
      <c r="F83" s="19"/>
      <c r="G83" s="17"/>
      <c r="H83" s="12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8" customFormat="1" ht="12" customHeight="1">
      <c r="A84" s="18"/>
      <c r="B84" s="14"/>
      <c r="C84" s="19"/>
      <c r="D84" s="19"/>
      <c r="E84" s="19"/>
      <c r="F84" s="19"/>
      <c r="G84" s="17"/>
      <c r="H84" s="12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8" customFormat="1" ht="12" customHeight="1">
      <c r="A85" s="18"/>
      <c r="B85" s="14"/>
      <c r="C85" s="19"/>
      <c r="D85" s="19"/>
      <c r="E85" s="19"/>
      <c r="F85" s="19"/>
      <c r="G85" s="17"/>
      <c r="H85" s="12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8" customFormat="1" ht="12" customHeight="1">
      <c r="A86" s="18"/>
      <c r="B86" s="14"/>
      <c r="C86" s="19"/>
      <c r="D86" s="19"/>
      <c r="E86" s="19"/>
      <c r="F86" s="19"/>
      <c r="G86" s="17"/>
      <c r="H86" s="1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8" customFormat="1" ht="12" customHeight="1">
      <c r="A87" s="18"/>
      <c r="B87" s="14"/>
      <c r="C87" s="19"/>
      <c r="D87" s="19"/>
      <c r="E87" s="19"/>
      <c r="F87" s="19"/>
      <c r="G87" s="17"/>
      <c r="H87" s="12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8" customFormat="1" ht="12" customHeight="1">
      <c r="A88" s="18"/>
      <c r="B88" s="14"/>
      <c r="C88" s="19"/>
      <c r="D88" s="19"/>
      <c r="E88" s="19"/>
      <c r="F88" s="19"/>
      <c r="G88" s="17"/>
      <c r="H88" s="12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8" customFormat="1" ht="12" customHeight="1">
      <c r="A89" s="18"/>
      <c r="B89" s="14"/>
      <c r="C89" s="19"/>
      <c r="D89" s="19"/>
      <c r="E89" s="19"/>
      <c r="F89" s="19"/>
      <c r="G89" s="17"/>
      <c r="H89" s="12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8" customFormat="1" ht="12" customHeight="1">
      <c r="A90" s="18"/>
      <c r="B90" s="14"/>
      <c r="C90" s="19"/>
      <c r="D90" s="19"/>
      <c r="E90" s="19"/>
      <c r="F90" s="19"/>
      <c r="G90" s="17"/>
      <c r="H90" s="1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8" customFormat="1" ht="12" customHeight="1">
      <c r="A91" s="18"/>
      <c r="B91" s="14"/>
      <c r="C91" s="19"/>
      <c r="D91" s="19"/>
      <c r="E91" s="19"/>
      <c r="F91" s="19"/>
      <c r="G91" s="17"/>
      <c r="H91" s="12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8" customFormat="1" ht="12" customHeight="1">
      <c r="A92" s="18"/>
      <c r="B92" s="14"/>
      <c r="C92" s="19"/>
      <c r="D92" s="19"/>
      <c r="E92" s="19"/>
      <c r="F92" s="19"/>
      <c r="G92" s="17"/>
      <c r="H92" s="12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8" customFormat="1" ht="12" customHeight="1">
      <c r="A93" s="18"/>
      <c r="B93" s="14"/>
      <c r="C93" s="19"/>
      <c r="D93" s="19"/>
      <c r="E93" s="19"/>
      <c r="F93" s="19"/>
      <c r="G93" s="17"/>
      <c r="H93" s="12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8" customFormat="1" ht="12" customHeight="1">
      <c r="A94" s="18"/>
      <c r="B94" s="14"/>
      <c r="C94" s="19"/>
      <c r="D94" s="19"/>
      <c r="E94" s="19"/>
      <c r="F94" s="19"/>
      <c r="G94" s="17"/>
      <c r="H94" s="1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8" customFormat="1" ht="12" customHeight="1">
      <c r="A95" s="18"/>
      <c r="B95" s="14"/>
      <c r="C95" s="19"/>
      <c r="D95" s="19"/>
      <c r="E95" s="19"/>
      <c r="F95" s="19"/>
      <c r="G95" s="17"/>
      <c r="H95" s="12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8" customFormat="1" ht="12" customHeight="1">
      <c r="A96" s="18"/>
      <c r="B96" s="14"/>
      <c r="C96" s="19"/>
      <c r="D96" s="19"/>
      <c r="E96" s="19"/>
      <c r="F96" s="19"/>
      <c r="G96" s="17"/>
      <c r="H96" s="12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8" customFormat="1" ht="12" customHeight="1">
      <c r="A97" s="18"/>
      <c r="B97" s="14"/>
      <c r="C97" s="19"/>
      <c r="D97" s="19"/>
      <c r="E97" s="19"/>
      <c r="F97" s="19"/>
      <c r="G97" s="17"/>
      <c r="H97" s="12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8" customFormat="1" ht="12" customHeight="1">
      <c r="A98" s="18"/>
      <c r="B98" s="14"/>
      <c r="C98" s="19"/>
      <c r="D98" s="19"/>
      <c r="E98" s="19"/>
      <c r="F98" s="19"/>
      <c r="G98" s="17"/>
      <c r="H98" s="1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8" customFormat="1" ht="12" customHeight="1">
      <c r="A99" s="18"/>
      <c r="B99" s="14"/>
      <c r="C99" s="19"/>
      <c r="D99" s="19"/>
      <c r="E99" s="19"/>
      <c r="F99" s="19"/>
      <c r="G99" s="17"/>
      <c r="H99" s="12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8" customFormat="1" ht="12" customHeight="1">
      <c r="A100" s="18"/>
      <c r="B100" s="14"/>
      <c r="C100" s="19"/>
      <c r="D100" s="19"/>
      <c r="E100" s="19"/>
      <c r="F100" s="19"/>
      <c r="G100" s="17"/>
      <c r="H100" s="12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8" customFormat="1" ht="12" customHeight="1">
      <c r="A101" s="18"/>
      <c r="B101" s="14"/>
      <c r="C101" s="19"/>
      <c r="D101" s="19"/>
      <c r="E101" s="19"/>
      <c r="F101" s="19"/>
      <c r="G101" s="17"/>
      <c r="H101" s="12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8" customFormat="1" ht="12" customHeight="1">
      <c r="A102" s="18"/>
      <c r="B102" s="14"/>
      <c r="C102" s="19"/>
      <c r="D102" s="19"/>
      <c r="E102" s="19"/>
      <c r="F102" s="19"/>
      <c r="G102" s="17"/>
      <c r="H102" s="1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8" customFormat="1" ht="12" customHeight="1">
      <c r="A103" s="18"/>
      <c r="B103" s="14"/>
      <c r="C103" s="19"/>
      <c r="D103" s="19"/>
      <c r="E103" s="19"/>
      <c r="F103" s="19"/>
      <c r="G103" s="17"/>
      <c r="H103" s="12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8" customFormat="1" ht="12" customHeight="1">
      <c r="A104" s="18"/>
      <c r="B104" s="14"/>
      <c r="C104" s="19"/>
      <c r="D104" s="19"/>
      <c r="E104" s="19"/>
      <c r="F104" s="19"/>
      <c r="G104" s="17"/>
      <c r="H104" s="12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8" customFormat="1" ht="12" customHeight="1">
      <c r="A105" s="18"/>
      <c r="B105" s="14"/>
      <c r="C105" s="19"/>
      <c r="D105" s="19"/>
      <c r="E105" s="19"/>
      <c r="F105" s="19"/>
      <c r="G105" s="17"/>
      <c r="H105" s="12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8" customFormat="1" ht="12" customHeight="1">
      <c r="A106" s="18"/>
      <c r="B106" s="14"/>
      <c r="C106" s="19"/>
      <c r="D106" s="19"/>
      <c r="E106" s="19"/>
      <c r="F106" s="19"/>
      <c r="G106" s="17"/>
      <c r="H106" s="1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8" customFormat="1" ht="12" customHeight="1">
      <c r="A107" s="18"/>
      <c r="B107" s="14"/>
      <c r="C107" s="19"/>
      <c r="D107" s="19"/>
      <c r="E107" s="19"/>
      <c r="F107" s="19"/>
      <c r="G107" s="17"/>
      <c r="H107" s="12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8" customFormat="1" ht="12" customHeight="1">
      <c r="A108" s="18"/>
      <c r="B108" s="14"/>
      <c r="C108" s="19"/>
      <c r="D108" s="19"/>
      <c r="E108" s="19"/>
      <c r="F108" s="19"/>
      <c r="G108" s="17"/>
      <c r="H108" s="12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8" customFormat="1" ht="12" customHeight="1">
      <c r="A109" s="18"/>
      <c r="B109" s="14"/>
      <c r="C109" s="19"/>
      <c r="D109" s="19"/>
      <c r="E109" s="19"/>
      <c r="F109" s="19"/>
      <c r="G109" s="17"/>
      <c r="H109" s="12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8" customFormat="1" ht="12" customHeight="1">
      <c r="A110" s="18"/>
      <c r="B110" s="14"/>
      <c r="C110" s="19"/>
      <c r="D110" s="19"/>
      <c r="E110" s="19"/>
      <c r="F110" s="19"/>
      <c r="G110" s="17"/>
      <c r="H110" s="1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8" customFormat="1" ht="12" customHeight="1">
      <c r="A111" s="18"/>
      <c r="B111" s="14"/>
      <c r="C111" s="19"/>
      <c r="D111" s="19"/>
      <c r="E111" s="19"/>
      <c r="F111" s="19"/>
      <c r="G111" s="17"/>
      <c r="H111" s="12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8" customFormat="1" ht="12" customHeight="1">
      <c r="A112" s="18"/>
      <c r="B112" s="14"/>
      <c r="C112" s="19"/>
      <c r="D112" s="19"/>
      <c r="E112" s="19"/>
      <c r="F112" s="19"/>
      <c r="G112" s="17"/>
      <c r="H112" s="12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8" customFormat="1" ht="12" customHeight="1">
      <c r="A113" s="18"/>
      <c r="B113" s="14"/>
      <c r="C113" s="19"/>
      <c r="D113" s="19"/>
      <c r="E113" s="19"/>
      <c r="F113" s="19"/>
      <c r="G113" s="17"/>
      <c r="H113" s="12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8" customFormat="1" ht="12" customHeight="1">
      <c r="A114" s="18"/>
      <c r="B114" s="14"/>
      <c r="C114" s="19"/>
      <c r="D114" s="19"/>
      <c r="E114" s="19"/>
      <c r="F114" s="19"/>
      <c r="G114" s="17"/>
      <c r="H114" s="1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8" customFormat="1" ht="12" customHeight="1">
      <c r="A115" s="18"/>
      <c r="B115" s="14"/>
      <c r="C115" s="19"/>
      <c r="D115" s="19"/>
      <c r="E115" s="19"/>
      <c r="F115" s="19"/>
      <c r="G115" s="17"/>
      <c r="H115" s="12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8" customFormat="1" ht="12" customHeight="1">
      <c r="A116" s="18"/>
      <c r="B116" s="14"/>
      <c r="C116" s="19"/>
      <c r="D116" s="19"/>
      <c r="E116" s="19"/>
      <c r="F116" s="19"/>
      <c r="G116" s="17"/>
      <c r="H116" s="12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8" customFormat="1" ht="12" customHeight="1">
      <c r="A117" s="18"/>
      <c r="B117" s="14"/>
      <c r="C117" s="19"/>
      <c r="D117" s="19"/>
      <c r="E117" s="19"/>
      <c r="F117" s="19"/>
      <c r="G117" s="17"/>
      <c r="H117" s="12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8" customFormat="1" ht="12" customHeight="1">
      <c r="A118" s="18"/>
      <c r="B118" s="14"/>
      <c r="C118" s="19"/>
      <c r="D118" s="19"/>
      <c r="E118" s="19"/>
      <c r="F118" s="19"/>
      <c r="G118" s="17"/>
      <c r="H118" s="1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8" customFormat="1" ht="12" customHeight="1">
      <c r="A119" s="18"/>
      <c r="B119" s="14"/>
      <c r="C119" s="19"/>
      <c r="D119" s="19"/>
      <c r="E119" s="19"/>
      <c r="F119" s="19"/>
      <c r="G119" s="17"/>
      <c r="H119" s="12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8" customFormat="1" ht="12" customHeight="1">
      <c r="A120" s="18"/>
      <c r="B120" s="14"/>
      <c r="C120" s="19"/>
      <c r="D120" s="19"/>
      <c r="E120" s="19"/>
      <c r="F120" s="19"/>
      <c r="G120" s="17"/>
      <c r="H120" s="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8" customFormat="1" ht="12" customHeight="1">
      <c r="A121" s="18"/>
      <c r="B121" s="14"/>
      <c r="C121" s="19"/>
      <c r="D121" s="19"/>
      <c r="E121" s="19"/>
      <c r="F121" s="19"/>
      <c r="G121" s="17"/>
      <c r="H121" s="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8" customFormat="1" ht="12" customHeight="1">
      <c r="A122" s="18"/>
      <c r="B122" s="14"/>
      <c r="C122" s="19"/>
      <c r="D122" s="19"/>
      <c r="E122" s="19"/>
      <c r="F122" s="19"/>
      <c r="G122" s="17"/>
      <c r="H122" s="1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8" customFormat="1" ht="12" customHeight="1">
      <c r="A123" s="18"/>
      <c r="B123" s="14"/>
      <c r="C123" s="19"/>
      <c r="D123" s="19"/>
      <c r="E123" s="19"/>
      <c r="F123" s="19"/>
      <c r="G123" s="17"/>
      <c r="H123" s="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8" customFormat="1" ht="12" customHeight="1">
      <c r="A124" s="18"/>
      <c r="B124" s="14"/>
      <c r="C124" s="19"/>
      <c r="D124" s="19"/>
      <c r="E124" s="19"/>
      <c r="F124" s="19"/>
      <c r="G124" s="17"/>
      <c r="H124" s="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8" customFormat="1" ht="12" customHeight="1">
      <c r="A125" s="18"/>
      <c r="B125" s="14"/>
      <c r="C125" s="19"/>
      <c r="D125" s="19"/>
      <c r="E125" s="19"/>
      <c r="F125" s="19"/>
      <c r="G125" s="17"/>
      <c r="H125" s="12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8" customFormat="1" ht="12" customHeight="1">
      <c r="A126" s="18"/>
      <c r="B126" s="14"/>
      <c r="C126" s="19"/>
      <c r="D126" s="19"/>
      <c r="E126" s="19"/>
      <c r="F126" s="19"/>
      <c r="G126" s="17"/>
      <c r="H126" s="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</sheetData>
  <mergeCells count="10">
    <mergeCell ref="B15:M15"/>
    <mergeCell ref="B22:M22"/>
    <mergeCell ref="I3:I4"/>
    <mergeCell ref="A14:G14"/>
    <mergeCell ref="A3:A4"/>
    <mergeCell ref="B3:B4"/>
    <mergeCell ref="C3:E3"/>
    <mergeCell ref="F3:F4"/>
    <mergeCell ref="G3:G4"/>
    <mergeCell ref="H3:H4"/>
  </mergeCells>
  <phoneticPr fontId="2" type="noConversion"/>
  <pageMargins left="0.74803149606299213" right="0.74803149606299213" top="0.63" bottom="0.65" header="0.51181102362204722" footer="0.51181102362204722"/>
  <pageSetup paperSize="9" scale="64" fitToHeight="0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4"/>
  <sheetViews>
    <sheetView view="pageBreakPreview" zoomScaleNormal="85" zoomScaleSheetLayoutView="100" workbookViewId="0">
      <pane xSplit="3" topLeftCell="D1" activePane="topRight" state="frozen"/>
      <selection activeCell="B3" sqref="B3:B4"/>
      <selection pane="topRight" activeCell="A2" sqref="A2"/>
    </sheetView>
  </sheetViews>
  <sheetFormatPr defaultRowHeight="12" customHeight="1"/>
  <cols>
    <col min="1" max="1" width="3.77734375" style="18" customWidth="1"/>
    <col min="2" max="2" width="27.77734375" style="14" customWidth="1"/>
    <col min="3" max="3" width="21.6640625" style="14" customWidth="1"/>
    <col min="4" max="4" width="12.44140625" style="14" customWidth="1"/>
    <col min="5" max="5" width="10.554687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2" width="9.5546875" style="23" customWidth="1"/>
    <col min="13" max="13" width="8.44140625" style="17" bestFit="1" customWidth="1"/>
    <col min="14" max="14" width="6.77734375" style="12" customWidth="1"/>
    <col min="15" max="15" width="5.33203125" style="10" customWidth="1"/>
    <col min="16" max="16384" width="8.88671875" style="10"/>
  </cols>
  <sheetData>
    <row r="1" spans="1:16" s="7" customFormat="1" ht="50.1" customHeight="1">
      <c r="A1" s="95"/>
      <c r="B1" s="96" t="s">
        <v>692</v>
      </c>
      <c r="C1" s="98" t="s">
        <v>564</v>
      </c>
      <c r="D1" s="95"/>
      <c r="E1" s="96"/>
      <c r="F1" s="95"/>
      <c r="G1" s="95"/>
      <c r="H1" s="3"/>
      <c r="I1" s="96"/>
      <c r="J1" s="96"/>
      <c r="K1" s="96"/>
      <c r="L1" s="96"/>
      <c r="M1" s="95"/>
      <c r="N1" s="95"/>
      <c r="O1" s="3"/>
      <c r="P1" s="3"/>
    </row>
    <row r="2" spans="1:16" s="6" customFormat="1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94"/>
      <c r="L2" s="94"/>
      <c r="M2" s="3"/>
      <c r="N2" s="4"/>
    </row>
    <row r="3" spans="1:16" s="6" customFormat="1" ht="33" customHeight="1" thickBot="1">
      <c r="A3" s="95"/>
      <c r="B3" s="719" t="s">
        <v>21</v>
      </c>
      <c r="C3" s="95"/>
      <c r="D3" s="95"/>
      <c r="E3" s="96"/>
      <c r="F3" s="95"/>
      <c r="G3" s="95"/>
      <c r="H3" s="3"/>
      <c r="I3" s="3"/>
      <c r="J3" s="94"/>
      <c r="K3" s="94"/>
      <c r="L3" s="94"/>
      <c r="M3" s="3"/>
      <c r="N3" s="4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6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50" customFormat="1" ht="168">
      <c r="A6" s="52">
        <v>1</v>
      </c>
      <c r="B6" s="116" t="s">
        <v>568</v>
      </c>
      <c r="C6" s="114" t="s">
        <v>407</v>
      </c>
      <c r="D6" s="186" t="s">
        <v>569</v>
      </c>
      <c r="E6" s="188">
        <v>833.42700000000002</v>
      </c>
      <c r="F6" s="189" t="s">
        <v>405</v>
      </c>
      <c r="G6" s="190" t="s">
        <v>406</v>
      </c>
      <c r="H6" s="189" t="s">
        <v>405</v>
      </c>
      <c r="I6" s="189" t="s">
        <v>406</v>
      </c>
      <c r="J6" s="791">
        <f>I6-H6+1</f>
        <v>1355</v>
      </c>
      <c r="K6" s="191">
        <v>3330000</v>
      </c>
      <c r="L6" s="150">
        <f>(IF(K6&gt;=3300000,3,IF(K6&gt;=1650000,2,1)))</f>
        <v>3</v>
      </c>
      <c r="M6" s="150" t="s">
        <v>370</v>
      </c>
      <c r="N6" s="192">
        <f>J6/365*L6</f>
        <v>11.136986301369863</v>
      </c>
      <c r="O6" s="177"/>
    </row>
    <row r="7" spans="1:16" s="50" customFormat="1" ht="36" customHeight="1">
      <c r="A7" s="52">
        <f>A6+1</f>
        <v>2</v>
      </c>
      <c r="B7" s="193"/>
      <c r="C7" s="187"/>
      <c r="D7" s="194"/>
      <c r="E7" s="188"/>
      <c r="F7" s="189"/>
      <c r="G7" s="190"/>
      <c r="H7" s="189"/>
      <c r="I7" s="189"/>
      <c r="J7" s="150"/>
      <c r="K7" s="150"/>
      <c r="L7" s="150"/>
      <c r="M7" s="150"/>
      <c r="N7" s="192"/>
      <c r="O7" s="177"/>
    </row>
    <row r="8" spans="1:16" s="50" customFormat="1" ht="36" customHeight="1">
      <c r="A8" s="52">
        <f t="shared" ref="A8:A10" si="0">A7+1</f>
        <v>3</v>
      </c>
      <c r="B8" s="193"/>
      <c r="C8" s="187"/>
      <c r="D8" s="194"/>
      <c r="E8" s="188"/>
      <c r="F8" s="189"/>
      <c r="G8" s="190"/>
      <c r="H8" s="189"/>
      <c r="I8" s="189"/>
      <c r="J8" s="150"/>
      <c r="K8" s="150"/>
      <c r="L8" s="150"/>
      <c r="M8" s="150"/>
      <c r="N8" s="192"/>
      <c r="O8" s="177"/>
    </row>
    <row r="9" spans="1:16" s="50" customFormat="1" ht="36" customHeight="1">
      <c r="A9" s="52">
        <f t="shared" si="0"/>
        <v>4</v>
      </c>
      <c r="B9" s="193"/>
      <c r="C9" s="187"/>
      <c r="D9" s="194"/>
      <c r="E9" s="188"/>
      <c r="F9" s="189"/>
      <c r="G9" s="190"/>
      <c r="H9" s="189"/>
      <c r="I9" s="189"/>
      <c r="J9" s="150"/>
      <c r="K9" s="150"/>
      <c r="L9" s="150"/>
      <c r="M9" s="150"/>
      <c r="N9" s="192"/>
      <c r="O9" s="177"/>
    </row>
    <row r="10" spans="1:16" s="50" customFormat="1" ht="36" customHeight="1">
      <c r="A10" s="52">
        <f t="shared" si="0"/>
        <v>5</v>
      </c>
      <c r="B10" s="193"/>
      <c r="C10" s="187"/>
      <c r="D10" s="194"/>
      <c r="E10" s="188"/>
      <c r="F10" s="189"/>
      <c r="G10" s="190"/>
      <c r="H10" s="189"/>
      <c r="I10" s="189"/>
      <c r="J10" s="150"/>
      <c r="K10" s="150"/>
      <c r="L10" s="150"/>
      <c r="M10" s="150"/>
      <c r="N10" s="192"/>
      <c r="O10" s="177"/>
    </row>
    <row r="11" spans="1:16" s="48" customFormat="1" ht="33" customHeight="1">
      <c r="A11" s="1003" t="s">
        <v>20</v>
      </c>
      <c r="B11" s="1004"/>
      <c r="C11" s="1004"/>
      <c r="D11" s="1004"/>
      <c r="E11" s="1004"/>
      <c r="F11" s="1004"/>
      <c r="G11" s="1004"/>
      <c r="H11" s="1004"/>
      <c r="I11" s="1004"/>
      <c r="J11" s="1004"/>
      <c r="K11" s="1004"/>
      <c r="L11" s="1004"/>
      <c r="M11" s="1004"/>
      <c r="N11" s="195">
        <f>SUM(N6:N10)</f>
        <v>11.136986301369863</v>
      </c>
      <c r="O11" s="197"/>
    </row>
    <row r="12" spans="1:16" s="50" customFormat="1" ht="33" customHeight="1" thickBot="1">
      <c r="A12" s="989" t="s">
        <v>30</v>
      </c>
      <c r="B12" s="990"/>
      <c r="C12" s="990"/>
      <c r="D12" s="990"/>
      <c r="E12" s="990"/>
      <c r="F12" s="990"/>
      <c r="G12" s="990"/>
      <c r="H12" s="990"/>
      <c r="I12" s="990"/>
      <c r="J12" s="990"/>
      <c r="K12" s="990"/>
      <c r="L12" s="990"/>
      <c r="M12" s="990"/>
      <c r="N12" s="196">
        <f>N11</f>
        <v>11.136986301369863</v>
      </c>
      <c r="O12" s="198"/>
    </row>
    <row r="13" spans="1:16" s="57" customFormat="1" ht="20.100000000000001" customHeight="1">
      <c r="A13" s="199" t="s">
        <v>666</v>
      </c>
      <c r="B13" s="985" t="s">
        <v>686</v>
      </c>
      <c r="C13" s="985"/>
      <c r="D13" s="985"/>
      <c r="E13" s="985"/>
      <c r="F13" s="985"/>
      <c r="G13" s="985"/>
      <c r="H13" s="985"/>
      <c r="I13" s="985"/>
      <c r="J13" s="985"/>
      <c r="K13" s="985"/>
      <c r="L13" s="985"/>
      <c r="M13" s="985"/>
      <c r="N13" s="56"/>
    </row>
    <row r="14" spans="1:16" s="36" customFormat="1" ht="20.100000000000001" customHeight="1">
      <c r="A14" s="200" t="s">
        <v>668</v>
      </c>
      <c r="B14" s="39" t="s">
        <v>687</v>
      </c>
      <c r="C14" s="39"/>
      <c r="D14" s="39"/>
      <c r="E14" s="39"/>
      <c r="F14" s="39"/>
      <c r="G14" s="39"/>
      <c r="H14" s="201"/>
      <c r="I14" s="201"/>
      <c r="J14" s="202"/>
      <c r="K14" s="202"/>
      <c r="L14" s="202"/>
      <c r="M14" s="203"/>
    </row>
    <row r="15" spans="1:16" s="34" customFormat="1" ht="20.100000000000001" customHeight="1">
      <c r="A15" s="199" t="s">
        <v>669</v>
      </c>
      <c r="B15" s="39" t="s">
        <v>0</v>
      </c>
      <c r="C15" s="39"/>
      <c r="D15" s="39"/>
      <c r="E15" s="39"/>
      <c r="F15" s="204"/>
      <c r="G15" s="204"/>
      <c r="H15" s="204"/>
      <c r="I15" s="204"/>
      <c r="J15" s="201"/>
      <c r="K15" s="201"/>
      <c r="L15" s="201"/>
      <c r="M15" s="205"/>
    </row>
    <row r="16" spans="1:16" s="34" customFormat="1" ht="20.100000000000001" customHeight="1">
      <c r="A16" s="200" t="s">
        <v>670</v>
      </c>
      <c r="B16" s="206" t="s">
        <v>664</v>
      </c>
      <c r="C16" s="206"/>
      <c r="D16" s="206"/>
      <c r="E16" s="206"/>
      <c r="F16" s="206"/>
      <c r="G16" s="206"/>
      <c r="H16" s="204"/>
      <c r="I16" s="204"/>
      <c r="J16" s="201"/>
      <c r="K16" s="201"/>
      <c r="L16" s="201"/>
      <c r="M16" s="205"/>
    </row>
    <row r="17" spans="1:14" s="34" customFormat="1" ht="20.100000000000001" customHeight="1">
      <c r="A17" s="199" t="s">
        <v>671</v>
      </c>
      <c r="B17" s="205" t="s">
        <v>1</v>
      </c>
      <c r="C17" s="39"/>
      <c r="D17" s="39"/>
      <c r="E17" s="39"/>
      <c r="F17" s="204"/>
      <c r="G17" s="204"/>
      <c r="H17" s="204"/>
      <c r="I17" s="204"/>
      <c r="J17" s="201"/>
      <c r="K17" s="201"/>
      <c r="L17" s="201"/>
      <c r="M17" s="205"/>
    </row>
    <row r="18" spans="1:14" s="34" customFormat="1" ht="20.100000000000001" customHeight="1">
      <c r="A18" s="200" t="s">
        <v>672</v>
      </c>
      <c r="B18" s="39" t="s">
        <v>688</v>
      </c>
      <c r="C18" s="39"/>
      <c r="D18" s="39"/>
      <c r="E18" s="39"/>
      <c r="F18" s="204"/>
      <c r="G18" s="204"/>
      <c r="H18" s="204"/>
      <c r="I18" s="204"/>
      <c r="J18" s="201"/>
      <c r="K18" s="201"/>
      <c r="L18" s="201"/>
      <c r="M18" s="205"/>
    </row>
    <row r="19" spans="1:14" s="36" customFormat="1" ht="20.100000000000001" customHeight="1">
      <c r="A19" s="199" t="s">
        <v>673</v>
      </c>
      <c r="B19" s="39" t="s">
        <v>684</v>
      </c>
      <c r="C19" s="39"/>
      <c r="D19" s="39"/>
      <c r="E19" s="39"/>
      <c r="F19" s="39"/>
      <c r="G19" s="39"/>
      <c r="H19" s="201"/>
      <c r="I19" s="201"/>
      <c r="J19" s="202"/>
      <c r="K19" s="202"/>
      <c r="L19" s="202"/>
      <c r="M19" s="203"/>
    </row>
    <row r="20" spans="1:14" s="36" customFormat="1" ht="20.100000000000001" customHeight="1">
      <c r="A20" s="200" t="s">
        <v>674</v>
      </c>
      <c r="B20" s="986" t="s">
        <v>685</v>
      </c>
      <c r="C20" s="986"/>
      <c r="D20" s="986"/>
      <c r="E20" s="986"/>
      <c r="F20" s="986"/>
      <c r="G20" s="986"/>
      <c r="H20" s="986"/>
      <c r="I20" s="986"/>
      <c r="J20" s="986"/>
      <c r="K20" s="986"/>
      <c r="L20" s="986"/>
      <c r="M20" s="986"/>
    </row>
    <row r="21" spans="1:14" s="57" customFormat="1" ht="20.100000000000001" customHeight="1">
      <c r="A21" s="35"/>
      <c r="B21" s="35"/>
      <c r="C21" s="35"/>
      <c r="D21" s="35"/>
      <c r="E21" s="35"/>
      <c r="F21" s="58"/>
      <c r="G21" s="58"/>
      <c r="H21" s="36"/>
      <c r="I21" s="36"/>
      <c r="J21" s="69"/>
      <c r="K21" s="69"/>
      <c r="L21" s="69"/>
      <c r="M21" s="59"/>
      <c r="N21" s="60"/>
    </row>
    <row r="22" spans="1:14" s="57" customFormat="1" ht="20.100000000000001" customHeight="1">
      <c r="A22" s="708"/>
      <c r="B22" s="58"/>
      <c r="C22" s="58"/>
      <c r="D22" s="58"/>
      <c r="E22" s="58"/>
      <c r="F22" s="709"/>
      <c r="G22" s="709"/>
      <c r="H22" s="36"/>
      <c r="I22" s="36"/>
      <c r="J22" s="710"/>
      <c r="K22" s="69"/>
      <c r="L22" s="69"/>
      <c r="M22" s="59"/>
      <c r="N22" s="60"/>
    </row>
    <row r="23" spans="1:14" s="57" customFormat="1" ht="20.100000000000001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69"/>
      <c r="L23" s="69"/>
      <c r="M23" s="59"/>
      <c r="N23" s="60"/>
    </row>
    <row r="24" spans="1:14" s="57" customFormat="1" ht="20.100000000000001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69"/>
      <c r="L24" s="69"/>
      <c r="M24" s="59"/>
      <c r="N24" s="60"/>
    </row>
    <row r="25" spans="1:14" s="57" customFormat="1" ht="20.100000000000001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69"/>
      <c r="L25" s="69"/>
      <c r="M25" s="59"/>
      <c r="N25" s="60"/>
    </row>
    <row r="26" spans="1:14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69"/>
      <c r="L26" s="69"/>
      <c r="M26" s="59"/>
      <c r="N26" s="60"/>
    </row>
    <row r="27" spans="1:14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69"/>
      <c r="L27" s="69"/>
      <c r="M27" s="59"/>
      <c r="N27" s="60"/>
    </row>
    <row r="28" spans="1:14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69"/>
      <c r="L28" s="69"/>
      <c r="M28" s="59"/>
      <c r="N28" s="60"/>
    </row>
    <row r="29" spans="1:14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69"/>
      <c r="L29" s="69"/>
      <c r="M29" s="59"/>
      <c r="N29" s="60"/>
    </row>
    <row r="30" spans="1:14" s="57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J30" s="710"/>
      <c r="K30" s="69"/>
      <c r="L30" s="69"/>
      <c r="M30" s="59"/>
      <c r="N30" s="60"/>
    </row>
    <row r="31" spans="1:14" s="57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J31" s="710"/>
      <c r="K31" s="69"/>
      <c r="L31" s="69"/>
      <c r="M31" s="59"/>
      <c r="N31" s="60"/>
    </row>
    <row r="32" spans="1:14" s="57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J32" s="710"/>
      <c r="K32" s="69"/>
      <c r="L32" s="69"/>
      <c r="M32" s="59"/>
      <c r="N32" s="60"/>
    </row>
    <row r="33" spans="1:14" s="57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J33" s="710"/>
      <c r="K33" s="69"/>
      <c r="L33" s="69"/>
      <c r="M33" s="59"/>
      <c r="N33" s="60"/>
    </row>
    <row r="34" spans="1:14" s="57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J34" s="710"/>
      <c r="K34" s="69"/>
      <c r="L34" s="69"/>
      <c r="M34" s="59"/>
      <c r="N34" s="60"/>
    </row>
    <row r="35" spans="1:14" s="57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J35" s="710"/>
      <c r="K35" s="69"/>
      <c r="L35" s="69"/>
      <c r="M35" s="59"/>
      <c r="N35" s="60"/>
    </row>
    <row r="36" spans="1:14" s="57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J36" s="710"/>
      <c r="K36" s="69"/>
      <c r="L36" s="69"/>
      <c r="M36" s="59"/>
      <c r="N36" s="60"/>
    </row>
    <row r="37" spans="1:14" s="57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J37" s="710"/>
      <c r="K37" s="69"/>
      <c r="L37" s="69"/>
      <c r="M37" s="59"/>
      <c r="N37" s="60"/>
    </row>
    <row r="38" spans="1:14" s="57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J38" s="710"/>
      <c r="K38" s="69"/>
      <c r="L38" s="69"/>
      <c r="M38" s="59"/>
      <c r="N38" s="60"/>
    </row>
    <row r="39" spans="1:14" s="57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J39" s="710"/>
      <c r="K39" s="69"/>
      <c r="L39" s="69"/>
      <c r="M39" s="59"/>
      <c r="N39" s="60"/>
    </row>
    <row r="40" spans="1:14" s="57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J40" s="710"/>
      <c r="K40" s="69"/>
      <c r="L40" s="69"/>
      <c r="M40" s="59"/>
      <c r="N40" s="60"/>
    </row>
    <row r="41" spans="1:14" s="57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J41" s="710"/>
      <c r="K41" s="69"/>
      <c r="L41" s="69"/>
      <c r="M41" s="59"/>
      <c r="N41" s="60"/>
    </row>
    <row r="42" spans="1:14" s="57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J42" s="710"/>
      <c r="K42" s="69"/>
      <c r="L42" s="69"/>
      <c r="M42" s="59"/>
      <c r="N42" s="60"/>
    </row>
    <row r="43" spans="1:14" s="57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J43" s="710"/>
      <c r="K43" s="69"/>
      <c r="L43" s="69"/>
      <c r="M43" s="59"/>
      <c r="N43" s="60"/>
    </row>
    <row r="44" spans="1:14" s="57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J44" s="710"/>
      <c r="K44" s="69"/>
      <c r="L44" s="69"/>
      <c r="M44" s="59"/>
      <c r="N44" s="60"/>
    </row>
    <row r="45" spans="1:14" s="57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J45" s="710"/>
      <c r="K45" s="69"/>
      <c r="L45" s="69"/>
      <c r="M45" s="59"/>
      <c r="N45" s="60"/>
    </row>
    <row r="46" spans="1:14" s="57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J46" s="710"/>
      <c r="K46" s="69"/>
      <c r="L46" s="69"/>
      <c r="M46" s="59"/>
      <c r="N46" s="60"/>
    </row>
    <row r="47" spans="1:14" s="57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J47" s="710"/>
      <c r="K47" s="69"/>
      <c r="L47" s="69"/>
      <c r="M47" s="59"/>
      <c r="N47" s="60"/>
    </row>
    <row r="48" spans="1:14" ht="12" customHeight="1">
      <c r="C48" s="19"/>
      <c r="D48" s="19"/>
      <c r="E48" s="19"/>
      <c r="F48" s="19"/>
      <c r="G48" s="19"/>
      <c r="H48" s="21"/>
      <c r="I48" s="21"/>
    </row>
    <row r="49" spans="3:9" ht="12" customHeight="1">
      <c r="C49" s="19"/>
      <c r="D49" s="19"/>
      <c r="E49" s="19"/>
      <c r="F49" s="19"/>
      <c r="G49" s="19"/>
      <c r="H49" s="21"/>
      <c r="I49" s="21"/>
    </row>
    <row r="50" spans="3:9" ht="12" customHeight="1">
      <c r="C50" s="19"/>
      <c r="D50" s="19"/>
      <c r="E50" s="19"/>
      <c r="F50" s="19"/>
      <c r="G50" s="19"/>
      <c r="H50" s="21"/>
      <c r="I50" s="21"/>
    </row>
    <row r="51" spans="3:9" ht="12" customHeight="1">
      <c r="C51" s="19"/>
      <c r="D51" s="19"/>
      <c r="E51" s="19"/>
      <c r="F51" s="19"/>
      <c r="G51" s="19"/>
      <c r="H51" s="21"/>
      <c r="I51" s="21"/>
    </row>
    <row r="52" spans="3:9" ht="12" customHeight="1">
      <c r="C52" s="19"/>
      <c r="D52" s="19"/>
      <c r="E52" s="19"/>
      <c r="F52" s="19"/>
      <c r="G52" s="19"/>
      <c r="H52" s="21"/>
      <c r="I52" s="21"/>
    </row>
    <row r="53" spans="3:9" ht="12" customHeight="1">
      <c r="C53" s="19"/>
      <c r="D53" s="19"/>
      <c r="E53" s="19"/>
      <c r="F53" s="19"/>
      <c r="G53" s="19"/>
      <c r="H53" s="21"/>
      <c r="I53" s="21"/>
    </row>
    <row r="54" spans="3:9" ht="12" customHeight="1">
      <c r="C54" s="19"/>
      <c r="D54" s="19"/>
      <c r="E54" s="19"/>
      <c r="F54" s="19"/>
      <c r="G54" s="19"/>
      <c r="H54" s="21"/>
      <c r="I54" s="21"/>
    </row>
    <row r="55" spans="3:9" ht="12" customHeight="1">
      <c r="C55" s="19"/>
      <c r="D55" s="19"/>
      <c r="E55" s="19"/>
      <c r="F55" s="19"/>
      <c r="G55" s="19"/>
      <c r="H55" s="21"/>
      <c r="I55" s="21"/>
    </row>
    <row r="56" spans="3:9" ht="12" customHeight="1">
      <c r="C56" s="19"/>
      <c r="D56" s="19"/>
      <c r="E56" s="19"/>
      <c r="F56" s="19"/>
      <c r="G56" s="19"/>
      <c r="H56" s="21"/>
      <c r="I56" s="21"/>
    </row>
    <row r="57" spans="3:9" ht="12" customHeight="1">
      <c r="C57" s="19"/>
      <c r="D57" s="19"/>
      <c r="E57" s="19"/>
      <c r="F57" s="19"/>
      <c r="G57" s="19"/>
      <c r="H57" s="21"/>
      <c r="I57" s="21"/>
    </row>
    <row r="58" spans="3:9" ht="12" customHeight="1">
      <c r="C58" s="19"/>
      <c r="D58" s="19"/>
      <c r="E58" s="19"/>
      <c r="F58" s="19"/>
      <c r="G58" s="19"/>
      <c r="H58" s="21"/>
      <c r="I58" s="21"/>
    </row>
    <row r="59" spans="3:9" ht="12" customHeight="1">
      <c r="C59" s="19"/>
      <c r="D59" s="19"/>
      <c r="E59" s="19"/>
      <c r="F59" s="19"/>
      <c r="G59" s="19"/>
      <c r="H59" s="21"/>
      <c r="I59" s="21"/>
    </row>
    <row r="60" spans="3:9" ht="12" customHeight="1">
      <c r="C60" s="19"/>
      <c r="D60" s="19"/>
      <c r="E60" s="19"/>
      <c r="F60" s="19"/>
      <c r="G60" s="19"/>
      <c r="H60" s="21"/>
      <c r="I60" s="21"/>
    </row>
    <row r="61" spans="3:9" ht="12" customHeight="1">
      <c r="C61" s="19"/>
      <c r="D61" s="19"/>
      <c r="E61" s="19"/>
      <c r="F61" s="19"/>
      <c r="G61" s="19"/>
      <c r="H61" s="21"/>
      <c r="I61" s="21"/>
    </row>
    <row r="62" spans="3:9" ht="12" customHeight="1">
      <c r="C62" s="19"/>
      <c r="D62" s="19"/>
      <c r="E62" s="19"/>
      <c r="F62" s="19"/>
      <c r="G62" s="19"/>
      <c r="H62" s="21"/>
      <c r="I62" s="21"/>
    </row>
    <row r="63" spans="3:9" ht="12" customHeight="1">
      <c r="C63" s="19"/>
      <c r="D63" s="19"/>
      <c r="E63" s="19"/>
      <c r="F63" s="19"/>
      <c r="G63" s="19"/>
      <c r="H63" s="21"/>
      <c r="I63" s="21"/>
    </row>
    <row r="64" spans="3:9" ht="12" customHeight="1">
      <c r="C64" s="19"/>
      <c r="D64" s="19"/>
      <c r="E64" s="19"/>
      <c r="F64" s="19"/>
      <c r="G64" s="19"/>
      <c r="H64" s="21"/>
      <c r="I64" s="21"/>
    </row>
    <row r="65" spans="3:9" ht="12" customHeight="1">
      <c r="C65" s="19"/>
      <c r="D65" s="19"/>
      <c r="E65" s="19"/>
      <c r="F65" s="19"/>
      <c r="G65" s="19"/>
      <c r="H65" s="21"/>
      <c r="I65" s="21"/>
    </row>
    <row r="66" spans="3:9" ht="12" customHeight="1">
      <c r="C66" s="19"/>
      <c r="D66" s="19"/>
      <c r="E66" s="19"/>
      <c r="F66" s="19"/>
      <c r="G66" s="19"/>
      <c r="H66" s="21"/>
      <c r="I66" s="21"/>
    </row>
    <row r="67" spans="3:9" ht="12" customHeight="1">
      <c r="C67" s="19"/>
      <c r="D67" s="19"/>
      <c r="E67" s="19"/>
      <c r="F67" s="19"/>
      <c r="G67" s="19"/>
      <c r="H67" s="21"/>
      <c r="I67" s="21"/>
    </row>
    <row r="68" spans="3:9" ht="12" customHeight="1">
      <c r="C68" s="19"/>
      <c r="D68" s="19"/>
      <c r="E68" s="19"/>
      <c r="F68" s="19"/>
      <c r="G68" s="19"/>
      <c r="H68" s="21"/>
      <c r="I68" s="21"/>
    </row>
    <row r="69" spans="3:9" ht="12" customHeight="1">
      <c r="C69" s="19"/>
      <c r="D69" s="19"/>
      <c r="E69" s="19"/>
      <c r="F69" s="19"/>
      <c r="G69" s="19"/>
      <c r="H69" s="21"/>
      <c r="I69" s="21"/>
    </row>
    <row r="70" spans="3:9" ht="12" customHeight="1">
      <c r="C70" s="19"/>
      <c r="D70" s="19"/>
      <c r="E70" s="19"/>
      <c r="F70" s="19"/>
      <c r="G70" s="19"/>
      <c r="H70" s="21"/>
      <c r="I70" s="21"/>
    </row>
    <row r="71" spans="3:9" ht="12" customHeight="1">
      <c r="C71" s="19"/>
      <c r="D71" s="19"/>
      <c r="E71" s="19"/>
      <c r="F71" s="19"/>
      <c r="G71" s="19"/>
      <c r="H71" s="21"/>
      <c r="I71" s="21"/>
    </row>
    <row r="72" spans="3:9" ht="12" customHeight="1">
      <c r="C72" s="19"/>
      <c r="D72" s="19"/>
      <c r="E72" s="19"/>
      <c r="F72" s="19"/>
      <c r="G72" s="19"/>
      <c r="H72" s="21"/>
      <c r="I72" s="21"/>
    </row>
    <row r="73" spans="3:9" ht="12" customHeight="1">
      <c r="C73" s="19"/>
      <c r="D73" s="19"/>
      <c r="E73" s="19"/>
      <c r="F73" s="19"/>
      <c r="G73" s="19"/>
      <c r="H73" s="21"/>
      <c r="I73" s="21"/>
    </row>
    <row r="74" spans="3:9" ht="12" customHeight="1">
      <c r="C74" s="19"/>
      <c r="D74" s="19"/>
      <c r="E74" s="19"/>
      <c r="F74" s="19"/>
      <c r="G74" s="19"/>
      <c r="H74" s="21"/>
      <c r="I74" s="21"/>
    </row>
    <row r="75" spans="3:9" ht="12" customHeight="1">
      <c r="C75" s="19"/>
      <c r="D75" s="19"/>
      <c r="E75" s="19"/>
      <c r="F75" s="19"/>
      <c r="G75" s="19"/>
      <c r="H75" s="21"/>
      <c r="I75" s="21"/>
    </row>
    <row r="76" spans="3:9" ht="12" customHeight="1">
      <c r="C76" s="19"/>
      <c r="D76" s="19"/>
      <c r="E76" s="19"/>
      <c r="F76" s="19"/>
      <c r="G76" s="19"/>
      <c r="H76" s="21"/>
      <c r="I76" s="21"/>
    </row>
    <row r="77" spans="3:9" ht="12" customHeight="1">
      <c r="C77" s="19"/>
      <c r="D77" s="19"/>
      <c r="E77" s="19"/>
      <c r="F77" s="19"/>
      <c r="G77" s="19"/>
      <c r="H77" s="21"/>
      <c r="I77" s="21"/>
    </row>
    <row r="78" spans="3:9" ht="12" customHeight="1">
      <c r="C78" s="19"/>
      <c r="D78" s="19"/>
      <c r="E78" s="19"/>
      <c r="F78" s="19"/>
      <c r="G78" s="19"/>
      <c r="H78" s="21"/>
      <c r="I78" s="21"/>
    </row>
    <row r="79" spans="3:9" ht="12" customHeight="1">
      <c r="C79" s="19"/>
      <c r="D79" s="19"/>
      <c r="E79" s="19"/>
      <c r="F79" s="19"/>
      <c r="G79" s="19"/>
      <c r="H79" s="21"/>
      <c r="I79" s="21"/>
    </row>
    <row r="80" spans="3:9" ht="12" customHeight="1">
      <c r="C80" s="19"/>
      <c r="D80" s="19"/>
      <c r="E80" s="19"/>
      <c r="F80" s="19"/>
      <c r="G80" s="19"/>
      <c r="H80" s="21"/>
      <c r="I80" s="21"/>
    </row>
    <row r="81" spans="3:9" ht="12" customHeight="1">
      <c r="C81" s="19"/>
      <c r="D81" s="19"/>
      <c r="E81" s="19"/>
      <c r="F81" s="19"/>
      <c r="G81" s="19"/>
      <c r="H81" s="21"/>
      <c r="I81" s="21"/>
    </row>
    <row r="82" spans="3:9" ht="12" customHeight="1">
      <c r="C82" s="19"/>
      <c r="D82" s="19"/>
      <c r="E82" s="19"/>
      <c r="F82" s="19"/>
      <c r="G82" s="19"/>
      <c r="H82" s="21"/>
      <c r="I82" s="21"/>
    </row>
    <row r="83" spans="3:9" ht="12" customHeight="1">
      <c r="C83" s="19"/>
      <c r="D83" s="19"/>
      <c r="E83" s="19"/>
      <c r="F83" s="19"/>
      <c r="G83" s="19"/>
      <c r="H83" s="21"/>
      <c r="I83" s="21"/>
    </row>
    <row r="84" spans="3:9" ht="12" customHeight="1">
      <c r="C84" s="19"/>
      <c r="D84" s="19"/>
      <c r="E84" s="19"/>
      <c r="F84" s="19"/>
      <c r="G84" s="19"/>
      <c r="H84" s="21"/>
      <c r="I84" s="21"/>
    </row>
    <row r="85" spans="3:9" ht="12" customHeight="1">
      <c r="C85" s="19"/>
      <c r="D85" s="19"/>
      <c r="E85" s="19"/>
      <c r="F85" s="19"/>
      <c r="G85" s="19"/>
      <c r="H85" s="21"/>
      <c r="I85" s="21"/>
    </row>
    <row r="86" spans="3:9" ht="12" customHeight="1">
      <c r="C86" s="19"/>
      <c r="D86" s="19"/>
      <c r="E86" s="19"/>
      <c r="F86" s="19"/>
      <c r="G86" s="19"/>
      <c r="H86" s="21"/>
      <c r="I86" s="21"/>
    </row>
    <row r="87" spans="3:9" ht="12" customHeight="1">
      <c r="C87" s="19"/>
      <c r="D87" s="19"/>
      <c r="E87" s="19"/>
      <c r="F87" s="19"/>
      <c r="G87" s="19"/>
      <c r="H87" s="21"/>
      <c r="I87" s="21"/>
    </row>
    <row r="88" spans="3:9" ht="12" customHeight="1">
      <c r="C88" s="19"/>
      <c r="D88" s="19"/>
      <c r="E88" s="19"/>
      <c r="F88" s="19"/>
      <c r="G88" s="19"/>
      <c r="H88" s="21"/>
      <c r="I88" s="21"/>
    </row>
    <row r="89" spans="3:9" ht="12" customHeight="1">
      <c r="C89" s="19"/>
      <c r="D89" s="19"/>
      <c r="E89" s="19"/>
      <c r="F89" s="19"/>
      <c r="G89" s="19"/>
      <c r="H89" s="21"/>
      <c r="I89" s="21"/>
    </row>
    <row r="90" spans="3:9" ht="12" customHeight="1">
      <c r="C90" s="19"/>
      <c r="D90" s="19"/>
      <c r="E90" s="19"/>
      <c r="F90" s="19"/>
      <c r="G90" s="19"/>
      <c r="H90" s="21"/>
      <c r="I90" s="21"/>
    </row>
    <row r="91" spans="3:9" ht="12" customHeight="1">
      <c r="C91" s="19"/>
      <c r="D91" s="19"/>
      <c r="E91" s="19"/>
      <c r="F91" s="19"/>
      <c r="G91" s="19"/>
      <c r="H91" s="21"/>
      <c r="I91" s="21"/>
    </row>
    <row r="92" spans="3:9" ht="12" customHeight="1">
      <c r="C92" s="19"/>
      <c r="D92" s="19"/>
      <c r="E92" s="19"/>
      <c r="F92" s="19"/>
      <c r="G92" s="19"/>
      <c r="H92" s="21"/>
      <c r="I92" s="21"/>
    </row>
    <row r="93" spans="3:9" ht="12" customHeight="1">
      <c r="C93" s="19"/>
      <c r="D93" s="19"/>
      <c r="E93" s="19"/>
      <c r="F93" s="19"/>
      <c r="G93" s="19"/>
      <c r="H93" s="21"/>
      <c r="I93" s="21"/>
    </row>
    <row r="94" spans="3:9" ht="12" customHeight="1">
      <c r="C94" s="19"/>
      <c r="D94" s="19"/>
      <c r="E94" s="19"/>
      <c r="F94" s="19"/>
      <c r="G94" s="19"/>
      <c r="H94" s="21"/>
      <c r="I94" s="21"/>
    </row>
    <row r="95" spans="3:9" ht="12" customHeight="1">
      <c r="C95" s="19"/>
      <c r="D95" s="19"/>
      <c r="E95" s="19"/>
      <c r="F95" s="19"/>
      <c r="G95" s="19"/>
      <c r="H95" s="21"/>
      <c r="I95" s="21"/>
    </row>
    <row r="96" spans="3:9" ht="12" customHeight="1">
      <c r="C96" s="19"/>
      <c r="D96" s="19"/>
      <c r="E96" s="19"/>
      <c r="F96" s="19"/>
      <c r="G96" s="19"/>
      <c r="H96" s="21"/>
      <c r="I96" s="21"/>
    </row>
    <row r="97" spans="3:9" ht="12" customHeight="1">
      <c r="C97" s="19"/>
      <c r="D97" s="19"/>
      <c r="E97" s="19"/>
      <c r="F97" s="19"/>
      <c r="G97" s="19"/>
      <c r="H97" s="21"/>
      <c r="I97" s="21"/>
    </row>
    <row r="98" spans="3:9" ht="12" customHeight="1">
      <c r="C98" s="19"/>
      <c r="D98" s="19"/>
      <c r="E98" s="19"/>
      <c r="F98" s="19"/>
      <c r="G98" s="19"/>
      <c r="H98" s="21"/>
      <c r="I98" s="21"/>
    </row>
    <row r="99" spans="3:9" ht="12" customHeight="1">
      <c r="C99" s="19"/>
      <c r="D99" s="19"/>
      <c r="E99" s="19"/>
      <c r="F99" s="19"/>
      <c r="G99" s="19"/>
      <c r="H99" s="21"/>
      <c r="I99" s="21"/>
    </row>
    <row r="100" spans="3:9" ht="12" customHeight="1">
      <c r="C100" s="19"/>
      <c r="D100" s="19"/>
      <c r="E100" s="19"/>
      <c r="F100" s="19"/>
      <c r="G100" s="19"/>
      <c r="H100" s="21"/>
      <c r="I100" s="21"/>
    </row>
    <row r="101" spans="3:9" ht="12" customHeight="1">
      <c r="C101" s="19"/>
      <c r="D101" s="19"/>
      <c r="E101" s="19"/>
      <c r="F101" s="19"/>
      <c r="G101" s="19"/>
      <c r="H101" s="21"/>
      <c r="I101" s="21"/>
    </row>
    <row r="102" spans="3:9" ht="12" customHeight="1">
      <c r="C102" s="19"/>
      <c r="D102" s="19"/>
      <c r="E102" s="19"/>
      <c r="F102" s="19"/>
      <c r="G102" s="19"/>
      <c r="H102" s="21"/>
      <c r="I102" s="21"/>
    </row>
    <row r="103" spans="3:9" ht="12" customHeight="1">
      <c r="C103" s="19"/>
      <c r="D103" s="19"/>
      <c r="E103" s="19"/>
      <c r="F103" s="19"/>
      <c r="G103" s="19"/>
      <c r="H103" s="21"/>
      <c r="I103" s="21"/>
    </row>
    <row r="104" spans="3:9" ht="12" customHeight="1">
      <c r="C104" s="19"/>
      <c r="D104" s="19"/>
      <c r="E104" s="19"/>
      <c r="F104" s="19"/>
      <c r="G104" s="19"/>
      <c r="H104" s="21"/>
      <c r="I104" s="21"/>
    </row>
    <row r="105" spans="3:9" ht="12" customHeight="1">
      <c r="C105" s="19"/>
      <c r="D105" s="19"/>
      <c r="E105" s="19"/>
      <c r="F105" s="19"/>
      <c r="G105" s="19"/>
      <c r="H105" s="21"/>
      <c r="I105" s="21"/>
    </row>
    <row r="106" spans="3:9" ht="12" customHeight="1">
      <c r="C106" s="19"/>
      <c r="D106" s="19"/>
      <c r="E106" s="19"/>
      <c r="F106" s="19"/>
      <c r="G106" s="19"/>
      <c r="H106" s="21"/>
      <c r="I106" s="21"/>
    </row>
    <row r="107" spans="3:9" ht="12" customHeight="1">
      <c r="C107" s="19"/>
      <c r="D107" s="19"/>
      <c r="E107" s="19"/>
      <c r="F107" s="19"/>
      <c r="G107" s="19"/>
      <c r="H107" s="21"/>
      <c r="I107" s="21"/>
    </row>
    <row r="108" spans="3:9" ht="12" customHeight="1">
      <c r="C108" s="19"/>
      <c r="D108" s="19"/>
      <c r="E108" s="19"/>
      <c r="F108" s="19"/>
      <c r="G108" s="19"/>
      <c r="H108" s="21"/>
      <c r="I108" s="21"/>
    </row>
    <row r="109" spans="3:9" ht="12" customHeight="1">
      <c r="C109" s="19"/>
      <c r="D109" s="19"/>
      <c r="E109" s="19"/>
      <c r="F109" s="19"/>
      <c r="G109" s="19"/>
      <c r="H109" s="21"/>
      <c r="I109" s="21"/>
    </row>
    <row r="110" spans="3:9" ht="12" customHeight="1">
      <c r="C110" s="19"/>
      <c r="D110" s="19"/>
      <c r="E110" s="19"/>
      <c r="F110" s="19"/>
      <c r="G110" s="19"/>
      <c r="H110" s="21"/>
      <c r="I110" s="21"/>
    </row>
    <row r="111" spans="3:9" ht="12" customHeight="1">
      <c r="C111" s="19"/>
      <c r="D111" s="19"/>
      <c r="E111" s="19"/>
      <c r="F111" s="19"/>
      <c r="G111" s="19"/>
      <c r="H111" s="21"/>
      <c r="I111" s="21"/>
    </row>
    <row r="112" spans="3:9" ht="12" customHeight="1">
      <c r="C112" s="19"/>
      <c r="D112" s="19"/>
      <c r="E112" s="19"/>
      <c r="F112" s="19"/>
      <c r="G112" s="19"/>
      <c r="H112" s="21"/>
      <c r="I112" s="21"/>
    </row>
    <row r="113" spans="3:9" ht="12" customHeight="1">
      <c r="C113" s="19"/>
      <c r="D113" s="19"/>
      <c r="E113" s="19"/>
      <c r="F113" s="19"/>
      <c r="G113" s="19"/>
      <c r="H113" s="21"/>
      <c r="I113" s="21"/>
    </row>
    <row r="114" spans="3:9" ht="12" customHeight="1">
      <c r="C114" s="19"/>
      <c r="D114" s="19"/>
      <c r="E114" s="19"/>
      <c r="F114" s="19"/>
      <c r="G114" s="19"/>
      <c r="H114" s="21"/>
      <c r="I114" s="21"/>
    </row>
    <row r="115" spans="3:9" ht="12" customHeight="1">
      <c r="C115" s="19"/>
      <c r="D115" s="19"/>
      <c r="E115" s="19"/>
      <c r="F115" s="19"/>
      <c r="G115" s="19"/>
      <c r="H115" s="21"/>
      <c r="I115" s="21"/>
    </row>
    <row r="116" spans="3:9" ht="12" customHeight="1">
      <c r="C116" s="19"/>
      <c r="D116" s="19"/>
      <c r="E116" s="19"/>
      <c r="F116" s="19"/>
      <c r="G116" s="19"/>
      <c r="H116" s="21"/>
      <c r="I116" s="21"/>
    </row>
    <row r="117" spans="3:9" ht="12" customHeight="1">
      <c r="C117" s="19"/>
      <c r="D117" s="19"/>
      <c r="E117" s="19"/>
      <c r="F117" s="19"/>
      <c r="G117" s="19"/>
      <c r="H117" s="21"/>
      <c r="I117" s="21"/>
    </row>
    <row r="118" spans="3:9" ht="12" customHeight="1">
      <c r="C118" s="19"/>
      <c r="D118" s="19"/>
      <c r="E118" s="19"/>
      <c r="F118" s="19"/>
      <c r="G118" s="19"/>
      <c r="H118" s="21"/>
      <c r="I118" s="21"/>
    </row>
    <row r="119" spans="3:9" ht="12" customHeight="1">
      <c r="C119" s="19"/>
      <c r="D119" s="19"/>
      <c r="E119" s="19"/>
      <c r="F119" s="19"/>
      <c r="G119" s="19"/>
      <c r="H119" s="21"/>
      <c r="I119" s="21"/>
    </row>
    <row r="120" spans="3:9" ht="12" customHeight="1">
      <c r="C120" s="19"/>
      <c r="D120" s="19"/>
      <c r="E120" s="19"/>
      <c r="F120" s="19"/>
      <c r="G120" s="19"/>
      <c r="H120" s="21"/>
      <c r="I120" s="21"/>
    </row>
    <row r="121" spans="3:9" ht="12" customHeight="1">
      <c r="C121" s="19"/>
      <c r="D121" s="19"/>
      <c r="E121" s="19"/>
      <c r="F121" s="19"/>
      <c r="G121" s="19"/>
      <c r="H121" s="21"/>
      <c r="I121" s="21"/>
    </row>
    <row r="122" spans="3:9" ht="12" customHeight="1">
      <c r="C122" s="19"/>
      <c r="D122" s="19"/>
      <c r="E122" s="19"/>
      <c r="F122" s="19"/>
      <c r="G122" s="19"/>
      <c r="H122" s="21"/>
      <c r="I122" s="21"/>
    </row>
    <row r="123" spans="3:9" ht="12" customHeight="1">
      <c r="C123" s="19"/>
      <c r="D123" s="19"/>
      <c r="E123" s="19"/>
      <c r="F123" s="19"/>
      <c r="G123" s="19"/>
      <c r="H123" s="21"/>
      <c r="I123" s="21"/>
    </row>
    <row r="124" spans="3:9" ht="12" customHeight="1">
      <c r="C124" s="19"/>
      <c r="D124" s="19"/>
      <c r="E124" s="19"/>
      <c r="F124" s="19"/>
      <c r="G124" s="19"/>
      <c r="H124" s="21"/>
      <c r="I124" s="21"/>
    </row>
  </sheetData>
  <mergeCells count="16">
    <mergeCell ref="O4:O5"/>
    <mergeCell ref="A11:M11"/>
    <mergeCell ref="N4:N5"/>
    <mergeCell ref="A4:A5"/>
    <mergeCell ref="B20:M20"/>
    <mergeCell ref="H4:J4"/>
    <mergeCell ref="M4:M5"/>
    <mergeCell ref="B4:B5"/>
    <mergeCell ref="C4:C5"/>
    <mergeCell ref="D4:D5"/>
    <mergeCell ref="E4:E5"/>
    <mergeCell ref="F4:G4"/>
    <mergeCell ref="B13:M13"/>
    <mergeCell ref="A12:M12"/>
    <mergeCell ref="K4:K5"/>
    <mergeCell ref="L4:L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7" fitToHeight="3" orientation="landscape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120"/>
  <sheetViews>
    <sheetView view="pageBreakPreview" zoomScaleNormal="85" zoomScaleSheetLayoutView="100" workbookViewId="0">
      <pane xSplit="3" topLeftCell="D1" activePane="topRight" state="frozen"/>
      <selection activeCell="B6" sqref="B6"/>
      <selection pane="topRight" activeCell="E6" sqref="E6"/>
    </sheetView>
  </sheetViews>
  <sheetFormatPr defaultRowHeight="12" customHeight="1"/>
  <cols>
    <col min="1" max="1" width="4.33203125" style="18" bestFit="1" customWidth="1"/>
    <col min="2" max="2" width="28.88671875" style="14" customWidth="1"/>
    <col min="3" max="3" width="28.5546875" style="14" customWidth="1"/>
    <col min="4" max="4" width="10.5546875" style="14" customWidth="1"/>
    <col min="5" max="5" width="9.6640625" style="14" bestFit="1" customWidth="1"/>
    <col min="6" max="7" width="10.33203125" style="14" bestFit="1" customWidth="1"/>
    <col min="8" max="8" width="10.33203125" style="22" bestFit="1" customWidth="1"/>
    <col min="9" max="9" width="10.109375" style="22" bestFit="1" customWidth="1"/>
    <col min="10" max="10" width="9.5546875" style="38" customWidth="1"/>
    <col min="11" max="11" width="9.5546875" style="17" bestFit="1" customWidth="1"/>
    <col min="12" max="12" width="8.44140625" style="17" customWidth="1"/>
    <col min="13" max="13" width="7.88671875" style="17" customWidth="1"/>
    <col min="14" max="14" width="8.88671875" style="10"/>
    <col min="15" max="15" width="9.77734375" style="10" customWidth="1"/>
    <col min="16" max="16384" width="8.88671875" style="10"/>
  </cols>
  <sheetData>
    <row r="1" spans="1:16" s="7" customFormat="1" ht="50.1" customHeight="1">
      <c r="A1" s="95"/>
      <c r="B1" s="724" t="s">
        <v>693</v>
      </c>
      <c r="C1" s="98" t="s">
        <v>574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6" customFormat="1" ht="9.9499999999999993" customHeight="1">
      <c r="A2" s="95"/>
      <c r="B2" s="96"/>
      <c r="C2" s="95"/>
      <c r="D2" s="95"/>
      <c r="E2" s="96"/>
      <c r="F2" s="95"/>
      <c r="G2" s="95"/>
      <c r="H2" s="3"/>
      <c r="I2" s="3"/>
      <c r="J2" s="94"/>
      <c r="K2" s="3"/>
      <c r="L2" s="3"/>
      <c r="M2" s="3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8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124.5" customHeight="1">
      <c r="A6" s="52">
        <v>1</v>
      </c>
      <c r="B6" s="61" t="s">
        <v>371</v>
      </c>
      <c r="C6" s="112" t="s">
        <v>369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57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6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4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4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4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4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4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6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pans="1:13" s="57" customFormat="1" ht="20.100000000000001" customHeight="1">
      <c r="A17" s="35"/>
      <c r="B17" s="35"/>
      <c r="C17" s="35"/>
      <c r="D17" s="35"/>
      <c r="E17" s="35"/>
      <c r="F17" s="58"/>
      <c r="G17" s="58"/>
      <c r="H17" s="36"/>
      <c r="I17" s="36"/>
      <c r="J17" s="69"/>
      <c r="K17" s="59"/>
      <c r="L17" s="59"/>
      <c r="M17" s="59"/>
    </row>
    <row r="18" spans="1:13" s="57" customFormat="1" ht="20.100000000000001" customHeight="1">
      <c r="A18" s="708"/>
      <c r="B18" s="58"/>
      <c r="C18" s="58"/>
      <c r="D18" s="58"/>
      <c r="E18" s="58"/>
      <c r="F18" s="709"/>
      <c r="G18" s="709"/>
      <c r="H18" s="36"/>
      <c r="I18" s="36"/>
      <c r="J18" s="710"/>
      <c r="K18" s="59"/>
      <c r="L18" s="59"/>
      <c r="M18" s="59"/>
    </row>
    <row r="19" spans="1:13" s="57" customFormat="1" ht="20.100000000000001" customHeight="1">
      <c r="A19" s="708"/>
      <c r="B19" s="85"/>
      <c r="C19" s="709"/>
      <c r="D19" s="709"/>
      <c r="E19" s="709"/>
      <c r="F19" s="709"/>
      <c r="G19" s="709"/>
      <c r="H19" s="36"/>
      <c r="I19" s="36"/>
      <c r="J19" s="710"/>
      <c r="K19" s="59"/>
      <c r="L19" s="59"/>
      <c r="M19" s="59"/>
    </row>
    <row r="20" spans="1:13" s="57" customFormat="1" ht="20.100000000000001" customHeight="1">
      <c r="A20" s="708"/>
      <c r="B20" s="85"/>
      <c r="C20" s="709"/>
      <c r="D20" s="709"/>
      <c r="E20" s="709"/>
      <c r="F20" s="709"/>
      <c r="G20" s="709"/>
      <c r="H20" s="36"/>
      <c r="I20" s="36"/>
      <c r="J20" s="710"/>
      <c r="K20" s="59"/>
      <c r="L20" s="59"/>
      <c r="M20" s="59"/>
    </row>
    <row r="21" spans="1:13" s="57" customFormat="1" ht="20.100000000000001" customHeight="1">
      <c r="A21" s="708"/>
      <c r="B21" s="85"/>
      <c r="C21" s="709"/>
      <c r="D21" s="709"/>
      <c r="E21" s="709"/>
      <c r="F21" s="709"/>
      <c r="G21" s="709"/>
      <c r="H21" s="36"/>
      <c r="I21" s="36"/>
      <c r="J21" s="710"/>
      <c r="K21" s="59"/>
      <c r="L21" s="59"/>
      <c r="M21" s="59"/>
    </row>
    <row r="22" spans="1:13" s="57" customFormat="1" ht="20.100000000000001" customHeight="1">
      <c r="A22" s="708"/>
      <c r="B22" s="85"/>
      <c r="C22" s="709"/>
      <c r="D22" s="709"/>
      <c r="E22" s="709"/>
      <c r="F22" s="709"/>
      <c r="G22" s="709"/>
      <c r="H22" s="36"/>
      <c r="I22" s="36"/>
      <c r="J22" s="710"/>
      <c r="K22" s="59"/>
      <c r="L22" s="59"/>
      <c r="M22" s="59"/>
    </row>
    <row r="23" spans="1:13" s="57" customFormat="1" ht="12" customHeight="1">
      <c r="A23" s="708"/>
      <c r="B23" s="85"/>
      <c r="C23" s="709"/>
      <c r="D23" s="709"/>
      <c r="E23" s="709"/>
      <c r="F23" s="709"/>
      <c r="G23" s="709"/>
      <c r="H23" s="36"/>
      <c r="I23" s="36"/>
      <c r="J23" s="710"/>
      <c r="K23" s="59"/>
      <c r="L23" s="59"/>
      <c r="M23" s="59"/>
    </row>
    <row r="24" spans="1:13" s="57" customFormat="1" ht="12" customHeight="1">
      <c r="A24" s="708"/>
      <c r="B24" s="85"/>
      <c r="C24" s="709"/>
      <c r="D24" s="709"/>
      <c r="E24" s="709"/>
      <c r="F24" s="709"/>
      <c r="G24" s="709"/>
      <c r="H24" s="36"/>
      <c r="I24" s="36"/>
      <c r="J24" s="710"/>
      <c r="K24" s="59"/>
      <c r="L24" s="59"/>
      <c r="M24" s="59"/>
    </row>
    <row r="25" spans="1:13" s="57" customFormat="1" ht="12" customHeight="1">
      <c r="A25" s="708"/>
      <c r="B25" s="85"/>
      <c r="C25" s="709"/>
      <c r="D25" s="709"/>
      <c r="E25" s="709"/>
      <c r="F25" s="709"/>
      <c r="G25" s="709"/>
      <c r="H25" s="36"/>
      <c r="I25" s="36"/>
      <c r="J25" s="710"/>
      <c r="K25" s="59"/>
      <c r="L25" s="59"/>
      <c r="M25" s="59"/>
    </row>
    <row r="26" spans="1:13" s="57" customFormat="1" ht="12" customHeight="1">
      <c r="A26" s="708"/>
      <c r="B26" s="85"/>
      <c r="C26" s="709"/>
      <c r="D26" s="709"/>
      <c r="E26" s="709"/>
      <c r="F26" s="709"/>
      <c r="G26" s="709"/>
      <c r="H26" s="36"/>
      <c r="I26" s="36"/>
      <c r="J26" s="710"/>
      <c r="K26" s="59"/>
      <c r="L26" s="59"/>
      <c r="M26" s="59"/>
    </row>
    <row r="27" spans="1:13" s="57" customFormat="1" ht="12" customHeight="1">
      <c r="A27" s="708"/>
      <c r="B27" s="85"/>
      <c r="C27" s="709"/>
      <c r="D27" s="709"/>
      <c r="E27" s="709"/>
      <c r="F27" s="709"/>
      <c r="G27" s="709"/>
      <c r="H27" s="36"/>
      <c r="I27" s="36"/>
      <c r="J27" s="710"/>
      <c r="K27" s="59"/>
      <c r="L27" s="59"/>
      <c r="M27" s="59"/>
    </row>
    <row r="28" spans="1:13" s="57" customFormat="1" ht="12" customHeight="1">
      <c r="A28" s="708"/>
      <c r="B28" s="85"/>
      <c r="C28" s="709"/>
      <c r="D28" s="709"/>
      <c r="E28" s="709"/>
      <c r="F28" s="709"/>
      <c r="G28" s="709"/>
      <c r="H28" s="36"/>
      <c r="I28" s="36"/>
      <c r="J28" s="710"/>
      <c r="K28" s="59"/>
      <c r="L28" s="59"/>
      <c r="M28" s="59"/>
    </row>
    <row r="29" spans="1:13" s="57" customFormat="1" ht="12" customHeight="1">
      <c r="A29" s="708"/>
      <c r="B29" s="85"/>
      <c r="C29" s="709"/>
      <c r="D29" s="709"/>
      <c r="E29" s="709"/>
      <c r="F29" s="709"/>
      <c r="G29" s="709"/>
      <c r="H29" s="36"/>
      <c r="I29" s="36"/>
      <c r="J29" s="710"/>
      <c r="K29" s="59"/>
      <c r="L29" s="59"/>
      <c r="M29" s="59"/>
    </row>
    <row r="30" spans="1:13" s="710" customFormat="1" ht="12" customHeight="1">
      <c r="A30" s="708"/>
      <c r="B30" s="85"/>
      <c r="C30" s="709"/>
      <c r="D30" s="709"/>
      <c r="E30" s="709"/>
      <c r="F30" s="709"/>
      <c r="G30" s="709"/>
      <c r="H30" s="36"/>
      <c r="I30" s="36"/>
      <c r="K30" s="59"/>
      <c r="L30" s="59"/>
      <c r="M30" s="59"/>
    </row>
    <row r="31" spans="1:13" s="710" customFormat="1" ht="12" customHeight="1">
      <c r="A31" s="708"/>
      <c r="B31" s="85"/>
      <c r="C31" s="709"/>
      <c r="D31" s="709"/>
      <c r="E31" s="709"/>
      <c r="F31" s="709"/>
      <c r="G31" s="709"/>
      <c r="H31" s="36"/>
      <c r="I31" s="36"/>
      <c r="K31" s="59"/>
      <c r="L31" s="59"/>
      <c r="M31" s="59"/>
    </row>
    <row r="32" spans="1:13" s="710" customFormat="1" ht="12" customHeight="1">
      <c r="A32" s="708"/>
      <c r="B32" s="85"/>
      <c r="C32" s="709"/>
      <c r="D32" s="709"/>
      <c r="E32" s="709"/>
      <c r="F32" s="709"/>
      <c r="G32" s="709"/>
      <c r="H32" s="36"/>
      <c r="I32" s="36"/>
      <c r="K32" s="59"/>
      <c r="L32" s="59"/>
      <c r="M32" s="59"/>
    </row>
    <row r="33" spans="1:13" s="710" customFormat="1" ht="12" customHeight="1">
      <c r="A33" s="708"/>
      <c r="B33" s="85"/>
      <c r="C33" s="709"/>
      <c r="D33" s="709"/>
      <c r="E33" s="709"/>
      <c r="F33" s="709"/>
      <c r="G33" s="709"/>
      <c r="H33" s="36"/>
      <c r="I33" s="36"/>
      <c r="K33" s="59"/>
      <c r="L33" s="59"/>
      <c r="M33" s="59"/>
    </row>
    <row r="34" spans="1:13" s="710" customFormat="1" ht="12" customHeight="1">
      <c r="A34" s="708"/>
      <c r="B34" s="85"/>
      <c r="C34" s="709"/>
      <c r="D34" s="709"/>
      <c r="E34" s="709"/>
      <c r="F34" s="709"/>
      <c r="G34" s="709"/>
      <c r="H34" s="36"/>
      <c r="I34" s="36"/>
      <c r="K34" s="59"/>
      <c r="L34" s="59"/>
      <c r="M34" s="59"/>
    </row>
    <row r="35" spans="1:13" s="710" customFormat="1" ht="12" customHeight="1">
      <c r="A35" s="708"/>
      <c r="B35" s="85"/>
      <c r="C35" s="709"/>
      <c r="D35" s="709"/>
      <c r="E35" s="709"/>
      <c r="F35" s="709"/>
      <c r="G35" s="709"/>
      <c r="H35" s="36"/>
      <c r="I35" s="36"/>
      <c r="K35" s="59"/>
      <c r="L35" s="59"/>
      <c r="M35" s="59"/>
    </row>
    <row r="36" spans="1:13" s="710" customFormat="1" ht="12" customHeight="1">
      <c r="A36" s="708"/>
      <c r="B36" s="85"/>
      <c r="C36" s="709"/>
      <c r="D36" s="709"/>
      <c r="E36" s="709"/>
      <c r="F36" s="709"/>
      <c r="G36" s="709"/>
      <c r="H36" s="36"/>
      <c r="I36" s="36"/>
      <c r="K36" s="59"/>
      <c r="L36" s="59"/>
      <c r="M36" s="59"/>
    </row>
    <row r="37" spans="1:13" s="710" customFormat="1" ht="12" customHeight="1">
      <c r="A37" s="708"/>
      <c r="B37" s="85"/>
      <c r="C37" s="709"/>
      <c r="D37" s="709"/>
      <c r="E37" s="709"/>
      <c r="F37" s="709"/>
      <c r="G37" s="709"/>
      <c r="H37" s="36"/>
      <c r="I37" s="36"/>
      <c r="K37" s="59"/>
      <c r="L37" s="59"/>
      <c r="M37" s="59"/>
    </row>
    <row r="38" spans="1:13" s="710" customFormat="1" ht="12" customHeight="1">
      <c r="A38" s="708"/>
      <c r="B38" s="85"/>
      <c r="C38" s="709"/>
      <c r="D38" s="709"/>
      <c r="E38" s="709"/>
      <c r="F38" s="709"/>
      <c r="G38" s="709"/>
      <c r="H38" s="36"/>
      <c r="I38" s="36"/>
      <c r="K38" s="59"/>
      <c r="L38" s="59"/>
      <c r="M38" s="59"/>
    </row>
    <row r="39" spans="1:13" s="710" customFormat="1" ht="12" customHeight="1">
      <c r="A39" s="708"/>
      <c r="B39" s="85"/>
      <c r="C39" s="709"/>
      <c r="D39" s="709"/>
      <c r="E39" s="709"/>
      <c r="F39" s="709"/>
      <c r="G39" s="709"/>
      <c r="H39" s="36"/>
      <c r="I39" s="36"/>
      <c r="K39" s="59"/>
      <c r="L39" s="59"/>
      <c r="M39" s="59"/>
    </row>
    <row r="40" spans="1:13" s="710" customFormat="1" ht="12" customHeight="1">
      <c r="A40" s="708"/>
      <c r="B40" s="85"/>
      <c r="C40" s="709"/>
      <c r="D40" s="709"/>
      <c r="E40" s="709"/>
      <c r="F40" s="709"/>
      <c r="G40" s="709"/>
      <c r="H40" s="36"/>
      <c r="I40" s="36"/>
      <c r="K40" s="59"/>
      <c r="L40" s="59"/>
      <c r="M40" s="59"/>
    </row>
    <row r="41" spans="1:13" s="710" customFormat="1" ht="12" customHeight="1">
      <c r="A41" s="708"/>
      <c r="B41" s="85"/>
      <c r="C41" s="709"/>
      <c r="D41" s="709"/>
      <c r="E41" s="709"/>
      <c r="F41" s="709"/>
      <c r="G41" s="709"/>
      <c r="H41" s="36"/>
      <c r="I41" s="36"/>
      <c r="K41" s="59"/>
      <c r="L41" s="59"/>
      <c r="M41" s="59"/>
    </row>
    <row r="42" spans="1:13" s="710" customFormat="1" ht="12" customHeight="1">
      <c r="A42" s="708"/>
      <c r="B42" s="85"/>
      <c r="C42" s="709"/>
      <c r="D42" s="709"/>
      <c r="E42" s="709"/>
      <c r="F42" s="709"/>
      <c r="G42" s="709"/>
      <c r="H42" s="36"/>
      <c r="I42" s="36"/>
      <c r="K42" s="59"/>
      <c r="L42" s="59"/>
      <c r="M42" s="59"/>
    </row>
    <row r="43" spans="1:13" s="710" customFormat="1" ht="12" customHeight="1">
      <c r="A43" s="708"/>
      <c r="B43" s="85"/>
      <c r="C43" s="709"/>
      <c r="D43" s="709"/>
      <c r="E43" s="709"/>
      <c r="F43" s="709"/>
      <c r="G43" s="709"/>
      <c r="H43" s="36"/>
      <c r="I43" s="36"/>
      <c r="K43" s="59"/>
      <c r="L43" s="59"/>
      <c r="M43" s="59"/>
    </row>
    <row r="44" spans="1:13" s="710" customFormat="1" ht="12" customHeight="1">
      <c r="A44" s="708"/>
      <c r="B44" s="85"/>
      <c r="C44" s="709"/>
      <c r="D44" s="709"/>
      <c r="E44" s="709"/>
      <c r="F44" s="709"/>
      <c r="G44" s="709"/>
      <c r="H44" s="36"/>
      <c r="I44" s="36"/>
      <c r="K44" s="59"/>
      <c r="L44" s="59"/>
      <c r="M44" s="59"/>
    </row>
    <row r="45" spans="1:13" s="710" customFormat="1" ht="12" customHeight="1">
      <c r="A45" s="708"/>
      <c r="B45" s="85"/>
      <c r="C45" s="709"/>
      <c r="D45" s="709"/>
      <c r="E45" s="709"/>
      <c r="F45" s="709"/>
      <c r="G45" s="709"/>
      <c r="H45" s="36"/>
      <c r="I45" s="36"/>
      <c r="K45" s="59"/>
      <c r="L45" s="59"/>
      <c r="M45" s="59"/>
    </row>
    <row r="46" spans="1:13" s="710" customFormat="1" ht="12" customHeight="1">
      <c r="A46" s="708"/>
      <c r="B46" s="85"/>
      <c r="C46" s="709"/>
      <c r="D46" s="709"/>
      <c r="E46" s="709"/>
      <c r="F46" s="709"/>
      <c r="G46" s="709"/>
      <c r="H46" s="36"/>
      <c r="I46" s="36"/>
      <c r="K46" s="59"/>
      <c r="L46" s="59"/>
      <c r="M46" s="59"/>
    </row>
    <row r="47" spans="1:13" s="710" customFormat="1" ht="12" customHeight="1">
      <c r="A47" s="708"/>
      <c r="B47" s="85"/>
      <c r="C47" s="709"/>
      <c r="D47" s="709"/>
      <c r="E47" s="709"/>
      <c r="F47" s="709"/>
      <c r="G47" s="709"/>
      <c r="H47" s="36"/>
      <c r="I47" s="36"/>
      <c r="K47" s="59"/>
      <c r="L47" s="59"/>
      <c r="M47" s="59"/>
    </row>
    <row r="48" spans="1:13" s="710" customFormat="1" ht="12" customHeight="1">
      <c r="A48" s="708"/>
      <c r="B48" s="85"/>
      <c r="C48" s="709"/>
      <c r="D48" s="709"/>
      <c r="E48" s="709"/>
      <c r="F48" s="709"/>
      <c r="G48" s="709"/>
      <c r="H48" s="36"/>
      <c r="I48" s="36"/>
      <c r="K48" s="59"/>
      <c r="L48" s="59"/>
      <c r="M48" s="59"/>
    </row>
    <row r="49" spans="1:13" s="38" customFormat="1" ht="12" customHeight="1">
      <c r="A49" s="18"/>
      <c r="B49" s="14"/>
      <c r="C49" s="19"/>
      <c r="D49" s="19"/>
      <c r="E49" s="19"/>
      <c r="F49" s="19"/>
      <c r="G49" s="19"/>
      <c r="H49" s="21"/>
      <c r="I49" s="21"/>
      <c r="K49" s="17"/>
      <c r="L49" s="17"/>
      <c r="M49" s="17"/>
    </row>
    <row r="50" spans="1:13" s="38" customFormat="1" ht="12" customHeight="1">
      <c r="A50" s="18"/>
      <c r="B50" s="14"/>
      <c r="C50" s="19"/>
      <c r="D50" s="19"/>
      <c r="E50" s="19"/>
      <c r="F50" s="19"/>
      <c r="G50" s="19"/>
      <c r="H50" s="21"/>
      <c r="I50" s="21"/>
      <c r="K50" s="17"/>
      <c r="L50" s="17"/>
      <c r="M50" s="17"/>
    </row>
    <row r="51" spans="1:13" s="38" customFormat="1" ht="12" customHeight="1">
      <c r="A51" s="18"/>
      <c r="B51" s="14"/>
      <c r="C51" s="19"/>
      <c r="D51" s="19"/>
      <c r="E51" s="19"/>
      <c r="F51" s="19"/>
      <c r="G51" s="19"/>
      <c r="H51" s="21"/>
      <c r="I51" s="21"/>
      <c r="K51" s="17"/>
      <c r="L51" s="17"/>
      <c r="M51" s="17"/>
    </row>
    <row r="52" spans="1:13" s="38" customFormat="1" ht="12" customHeight="1">
      <c r="A52" s="18"/>
      <c r="B52" s="14"/>
      <c r="C52" s="19"/>
      <c r="D52" s="19"/>
      <c r="E52" s="19"/>
      <c r="F52" s="19"/>
      <c r="G52" s="19"/>
      <c r="H52" s="21"/>
      <c r="I52" s="21"/>
      <c r="K52" s="17"/>
      <c r="L52" s="17"/>
      <c r="M52" s="17"/>
    </row>
    <row r="53" spans="1:13" s="38" customFormat="1" ht="12" customHeight="1">
      <c r="A53" s="18"/>
      <c r="B53" s="14"/>
      <c r="C53" s="19"/>
      <c r="D53" s="19"/>
      <c r="E53" s="19"/>
      <c r="F53" s="19"/>
      <c r="G53" s="19"/>
      <c r="H53" s="21"/>
      <c r="I53" s="21"/>
      <c r="K53" s="17"/>
      <c r="L53" s="17"/>
      <c r="M53" s="17"/>
    </row>
    <row r="54" spans="1:13" s="38" customFormat="1" ht="12" customHeight="1">
      <c r="A54" s="18"/>
      <c r="B54" s="14"/>
      <c r="C54" s="19"/>
      <c r="D54" s="19"/>
      <c r="E54" s="19"/>
      <c r="F54" s="19"/>
      <c r="G54" s="19"/>
      <c r="H54" s="21"/>
      <c r="I54" s="21"/>
      <c r="K54" s="17"/>
      <c r="L54" s="17"/>
      <c r="M54" s="17"/>
    </row>
    <row r="55" spans="1:13" s="38" customFormat="1" ht="12" customHeight="1">
      <c r="A55" s="18"/>
      <c r="B55" s="14"/>
      <c r="C55" s="19"/>
      <c r="D55" s="19"/>
      <c r="E55" s="19"/>
      <c r="F55" s="19"/>
      <c r="G55" s="19"/>
      <c r="H55" s="21"/>
      <c r="I55" s="21"/>
      <c r="K55" s="17"/>
      <c r="L55" s="17"/>
      <c r="M55" s="17"/>
    </row>
    <row r="56" spans="1:13" s="38" customFormat="1" ht="12" customHeight="1">
      <c r="A56" s="18"/>
      <c r="B56" s="14"/>
      <c r="C56" s="19"/>
      <c r="D56" s="19"/>
      <c r="E56" s="19"/>
      <c r="F56" s="19"/>
      <c r="G56" s="19"/>
      <c r="H56" s="21"/>
      <c r="I56" s="21"/>
      <c r="K56" s="17"/>
      <c r="L56" s="17"/>
      <c r="M56" s="17"/>
    </row>
    <row r="57" spans="1:13" s="38" customFormat="1" ht="12" customHeight="1">
      <c r="A57" s="18"/>
      <c r="B57" s="14"/>
      <c r="C57" s="19"/>
      <c r="D57" s="19"/>
      <c r="E57" s="19"/>
      <c r="F57" s="19"/>
      <c r="G57" s="19"/>
      <c r="H57" s="21"/>
      <c r="I57" s="21"/>
      <c r="K57" s="17"/>
      <c r="L57" s="17"/>
      <c r="M57" s="17"/>
    </row>
    <row r="58" spans="1:13" s="38" customFormat="1" ht="12" customHeight="1">
      <c r="A58" s="18"/>
      <c r="B58" s="14"/>
      <c r="C58" s="19"/>
      <c r="D58" s="19"/>
      <c r="E58" s="19"/>
      <c r="F58" s="19"/>
      <c r="G58" s="19"/>
      <c r="H58" s="21"/>
      <c r="I58" s="21"/>
      <c r="K58" s="17"/>
      <c r="L58" s="17"/>
      <c r="M58" s="17"/>
    </row>
    <row r="59" spans="1:13" s="38" customFormat="1" ht="12" customHeight="1">
      <c r="A59" s="18"/>
      <c r="B59" s="14"/>
      <c r="C59" s="19"/>
      <c r="D59" s="19"/>
      <c r="E59" s="19"/>
      <c r="F59" s="19"/>
      <c r="G59" s="19"/>
      <c r="H59" s="21"/>
      <c r="I59" s="21"/>
      <c r="K59" s="17"/>
      <c r="L59" s="17"/>
      <c r="M59" s="17"/>
    </row>
    <row r="60" spans="1:13" s="38" customFormat="1" ht="12" customHeight="1">
      <c r="A60" s="18"/>
      <c r="B60" s="14"/>
      <c r="C60" s="19"/>
      <c r="D60" s="19"/>
      <c r="E60" s="19"/>
      <c r="F60" s="19"/>
      <c r="G60" s="19"/>
      <c r="H60" s="21"/>
      <c r="I60" s="21"/>
      <c r="K60" s="17"/>
      <c r="L60" s="17"/>
      <c r="M60" s="17"/>
    </row>
    <row r="61" spans="1:13" s="38" customFormat="1" ht="12" customHeight="1">
      <c r="A61" s="18"/>
      <c r="B61" s="14"/>
      <c r="C61" s="19"/>
      <c r="D61" s="19"/>
      <c r="E61" s="19"/>
      <c r="F61" s="19"/>
      <c r="G61" s="19"/>
      <c r="H61" s="21"/>
      <c r="I61" s="21"/>
      <c r="K61" s="17"/>
      <c r="L61" s="17"/>
      <c r="M61" s="17"/>
    </row>
    <row r="62" spans="1:13" s="38" customFormat="1" ht="12" customHeight="1">
      <c r="A62" s="18"/>
      <c r="B62" s="14"/>
      <c r="C62" s="19"/>
      <c r="D62" s="19"/>
      <c r="E62" s="19"/>
      <c r="F62" s="19"/>
      <c r="G62" s="19"/>
      <c r="H62" s="21"/>
      <c r="I62" s="21"/>
      <c r="K62" s="17"/>
      <c r="L62" s="17"/>
      <c r="M62" s="17"/>
    </row>
    <row r="63" spans="1:13" s="38" customFormat="1" ht="12" customHeight="1">
      <c r="A63" s="18"/>
      <c r="B63" s="14"/>
      <c r="C63" s="19"/>
      <c r="D63" s="19"/>
      <c r="E63" s="19"/>
      <c r="F63" s="19"/>
      <c r="G63" s="19"/>
      <c r="H63" s="21"/>
      <c r="I63" s="21"/>
      <c r="K63" s="17"/>
      <c r="L63" s="17"/>
      <c r="M63" s="17"/>
    </row>
    <row r="64" spans="1:13" s="38" customFormat="1" ht="12" customHeight="1">
      <c r="A64" s="18"/>
      <c r="B64" s="14"/>
      <c r="C64" s="19"/>
      <c r="D64" s="19"/>
      <c r="E64" s="19"/>
      <c r="F64" s="19"/>
      <c r="G64" s="19"/>
      <c r="H64" s="21"/>
      <c r="I64" s="21"/>
      <c r="K64" s="17"/>
      <c r="L64" s="17"/>
      <c r="M64" s="17"/>
    </row>
    <row r="65" spans="1:13" s="38" customFormat="1" ht="12" customHeight="1">
      <c r="A65" s="18"/>
      <c r="B65" s="14"/>
      <c r="C65" s="19"/>
      <c r="D65" s="19"/>
      <c r="E65" s="19"/>
      <c r="F65" s="19"/>
      <c r="G65" s="19"/>
      <c r="H65" s="21"/>
      <c r="I65" s="21"/>
      <c r="K65" s="17"/>
      <c r="L65" s="17"/>
      <c r="M65" s="17"/>
    </row>
    <row r="66" spans="1:13" s="38" customFormat="1" ht="12" customHeight="1">
      <c r="A66" s="18"/>
      <c r="B66" s="14"/>
      <c r="C66" s="19"/>
      <c r="D66" s="19"/>
      <c r="E66" s="19"/>
      <c r="F66" s="19"/>
      <c r="G66" s="19"/>
      <c r="H66" s="21"/>
      <c r="I66" s="21"/>
      <c r="K66" s="17"/>
      <c r="L66" s="17"/>
      <c r="M66" s="17"/>
    </row>
    <row r="67" spans="1:13" s="38" customFormat="1" ht="12" customHeight="1">
      <c r="A67" s="18"/>
      <c r="B67" s="14"/>
      <c r="C67" s="19"/>
      <c r="D67" s="19"/>
      <c r="E67" s="19"/>
      <c r="F67" s="19"/>
      <c r="G67" s="19"/>
      <c r="H67" s="21"/>
      <c r="I67" s="21"/>
      <c r="K67" s="17"/>
      <c r="L67" s="17"/>
      <c r="M67" s="17"/>
    </row>
    <row r="68" spans="1:13" s="38" customFormat="1" ht="12" customHeight="1">
      <c r="A68" s="18"/>
      <c r="B68" s="14"/>
      <c r="C68" s="19"/>
      <c r="D68" s="19"/>
      <c r="E68" s="19"/>
      <c r="F68" s="19"/>
      <c r="G68" s="19"/>
      <c r="H68" s="21"/>
      <c r="I68" s="21"/>
      <c r="K68" s="17"/>
      <c r="L68" s="17"/>
      <c r="M68" s="17"/>
    </row>
    <row r="69" spans="1:13" s="38" customFormat="1" ht="12" customHeight="1">
      <c r="A69" s="18"/>
      <c r="B69" s="14"/>
      <c r="C69" s="19"/>
      <c r="D69" s="19"/>
      <c r="E69" s="19"/>
      <c r="F69" s="19"/>
      <c r="G69" s="19"/>
      <c r="H69" s="21"/>
      <c r="I69" s="21"/>
      <c r="K69" s="17"/>
      <c r="L69" s="17"/>
      <c r="M69" s="17"/>
    </row>
    <row r="70" spans="1:13" s="38" customFormat="1" ht="12" customHeight="1">
      <c r="A70" s="18"/>
      <c r="B70" s="14"/>
      <c r="C70" s="19"/>
      <c r="D70" s="19"/>
      <c r="E70" s="19"/>
      <c r="F70" s="19"/>
      <c r="G70" s="19"/>
      <c r="H70" s="21"/>
      <c r="I70" s="21"/>
      <c r="K70" s="17"/>
      <c r="L70" s="17"/>
      <c r="M70" s="17"/>
    </row>
    <row r="71" spans="1:13" s="38" customFormat="1" ht="12" customHeight="1">
      <c r="A71" s="18"/>
      <c r="B71" s="14"/>
      <c r="C71" s="19"/>
      <c r="D71" s="19"/>
      <c r="E71" s="19"/>
      <c r="F71" s="19"/>
      <c r="G71" s="19"/>
      <c r="H71" s="21"/>
      <c r="I71" s="21"/>
      <c r="K71" s="17"/>
      <c r="L71" s="17"/>
      <c r="M71" s="17"/>
    </row>
    <row r="72" spans="1:13" s="38" customFormat="1" ht="12" customHeight="1">
      <c r="A72" s="18"/>
      <c r="B72" s="14"/>
      <c r="C72" s="19"/>
      <c r="D72" s="19"/>
      <c r="E72" s="19"/>
      <c r="F72" s="19"/>
      <c r="G72" s="19"/>
      <c r="H72" s="21"/>
      <c r="I72" s="21"/>
      <c r="K72" s="17"/>
      <c r="L72" s="17"/>
      <c r="M72" s="17"/>
    </row>
    <row r="73" spans="1:13" s="38" customFormat="1" ht="12" customHeight="1">
      <c r="A73" s="18"/>
      <c r="B73" s="14"/>
      <c r="C73" s="19"/>
      <c r="D73" s="19"/>
      <c r="E73" s="19"/>
      <c r="F73" s="19"/>
      <c r="G73" s="19"/>
      <c r="H73" s="21"/>
      <c r="I73" s="21"/>
      <c r="K73" s="17"/>
      <c r="L73" s="17"/>
      <c r="M73" s="17"/>
    </row>
    <row r="74" spans="1:13" s="38" customFormat="1" ht="12" customHeight="1">
      <c r="A74" s="18"/>
      <c r="B74" s="14"/>
      <c r="C74" s="19"/>
      <c r="D74" s="19"/>
      <c r="E74" s="19"/>
      <c r="F74" s="19"/>
      <c r="G74" s="19"/>
      <c r="H74" s="21"/>
      <c r="I74" s="21"/>
      <c r="K74" s="17"/>
      <c r="L74" s="17"/>
      <c r="M74" s="17"/>
    </row>
    <row r="75" spans="1:13" s="38" customFormat="1" ht="12" customHeight="1">
      <c r="A75" s="18"/>
      <c r="B75" s="14"/>
      <c r="C75" s="19"/>
      <c r="D75" s="19"/>
      <c r="E75" s="19"/>
      <c r="F75" s="19"/>
      <c r="G75" s="19"/>
      <c r="H75" s="21"/>
      <c r="I75" s="21"/>
      <c r="K75" s="17"/>
      <c r="L75" s="17"/>
      <c r="M75" s="17"/>
    </row>
    <row r="76" spans="1:13" s="38" customFormat="1" ht="12" customHeight="1">
      <c r="A76" s="18"/>
      <c r="B76" s="14"/>
      <c r="C76" s="19"/>
      <c r="D76" s="19"/>
      <c r="E76" s="19"/>
      <c r="F76" s="19"/>
      <c r="G76" s="19"/>
      <c r="H76" s="21"/>
      <c r="I76" s="21"/>
      <c r="K76" s="17"/>
      <c r="L76" s="17"/>
      <c r="M76" s="17"/>
    </row>
    <row r="77" spans="1:13" s="38" customFormat="1" ht="12" customHeight="1">
      <c r="A77" s="18"/>
      <c r="B77" s="14"/>
      <c r="C77" s="19"/>
      <c r="D77" s="19"/>
      <c r="E77" s="19"/>
      <c r="F77" s="19"/>
      <c r="G77" s="19"/>
      <c r="H77" s="21"/>
      <c r="I77" s="21"/>
      <c r="K77" s="17"/>
      <c r="L77" s="17"/>
      <c r="M77" s="17"/>
    </row>
    <row r="78" spans="1:13" s="38" customFormat="1" ht="12" customHeight="1">
      <c r="A78" s="18"/>
      <c r="B78" s="14"/>
      <c r="C78" s="19"/>
      <c r="D78" s="19"/>
      <c r="E78" s="19"/>
      <c r="F78" s="19"/>
      <c r="G78" s="19"/>
      <c r="H78" s="21"/>
      <c r="I78" s="21"/>
      <c r="K78" s="17"/>
      <c r="L78" s="17"/>
      <c r="M78" s="17"/>
    </row>
    <row r="79" spans="1:13" s="38" customFormat="1" ht="12" customHeight="1">
      <c r="A79" s="18"/>
      <c r="B79" s="14"/>
      <c r="C79" s="19"/>
      <c r="D79" s="19"/>
      <c r="E79" s="19"/>
      <c r="F79" s="19"/>
      <c r="G79" s="19"/>
      <c r="H79" s="21"/>
      <c r="I79" s="21"/>
      <c r="K79" s="17"/>
      <c r="L79" s="17"/>
      <c r="M79" s="17"/>
    </row>
    <row r="80" spans="1:13" s="38" customFormat="1" ht="12" customHeight="1">
      <c r="A80" s="18"/>
      <c r="B80" s="14"/>
      <c r="C80" s="19"/>
      <c r="D80" s="19"/>
      <c r="E80" s="19"/>
      <c r="F80" s="19"/>
      <c r="G80" s="19"/>
      <c r="H80" s="21"/>
      <c r="I80" s="21"/>
      <c r="K80" s="17"/>
      <c r="L80" s="17"/>
      <c r="M80" s="17"/>
    </row>
    <row r="81" spans="1:13" s="38" customFormat="1" ht="12" customHeight="1">
      <c r="A81" s="18"/>
      <c r="B81" s="14"/>
      <c r="C81" s="19"/>
      <c r="D81" s="19"/>
      <c r="E81" s="19"/>
      <c r="F81" s="19"/>
      <c r="G81" s="19"/>
      <c r="H81" s="21"/>
      <c r="I81" s="21"/>
      <c r="K81" s="17"/>
      <c r="L81" s="17"/>
      <c r="M81" s="17"/>
    </row>
    <row r="82" spans="1:13" s="38" customFormat="1" ht="12" customHeight="1">
      <c r="A82" s="18"/>
      <c r="B82" s="14"/>
      <c r="C82" s="19"/>
      <c r="D82" s="19"/>
      <c r="E82" s="19"/>
      <c r="F82" s="19"/>
      <c r="G82" s="19"/>
      <c r="H82" s="21"/>
      <c r="I82" s="21"/>
      <c r="K82" s="17"/>
      <c r="L82" s="17"/>
      <c r="M82" s="17"/>
    </row>
    <row r="83" spans="1:13" s="38" customFormat="1" ht="12" customHeight="1">
      <c r="A83" s="18"/>
      <c r="B83" s="14"/>
      <c r="C83" s="19"/>
      <c r="D83" s="19"/>
      <c r="E83" s="19"/>
      <c r="F83" s="19"/>
      <c r="G83" s="19"/>
      <c r="H83" s="21"/>
      <c r="I83" s="21"/>
      <c r="K83" s="17"/>
      <c r="L83" s="17"/>
      <c r="M83" s="17"/>
    </row>
    <row r="84" spans="1:13" s="38" customFormat="1" ht="12" customHeight="1">
      <c r="A84" s="18"/>
      <c r="B84" s="14"/>
      <c r="C84" s="19"/>
      <c r="D84" s="19"/>
      <c r="E84" s="19"/>
      <c r="F84" s="19"/>
      <c r="G84" s="19"/>
      <c r="H84" s="21"/>
      <c r="I84" s="21"/>
      <c r="K84" s="17"/>
      <c r="L84" s="17"/>
      <c r="M84" s="17"/>
    </row>
    <row r="85" spans="1:13" s="38" customFormat="1" ht="12" customHeight="1">
      <c r="A85" s="18"/>
      <c r="B85" s="14"/>
      <c r="C85" s="19"/>
      <c r="D85" s="19"/>
      <c r="E85" s="19"/>
      <c r="F85" s="19"/>
      <c r="G85" s="19"/>
      <c r="H85" s="21"/>
      <c r="I85" s="21"/>
      <c r="K85" s="17"/>
      <c r="L85" s="17"/>
      <c r="M85" s="17"/>
    </row>
    <row r="86" spans="1:13" s="38" customFormat="1" ht="12" customHeight="1">
      <c r="A86" s="18"/>
      <c r="B86" s="14"/>
      <c r="C86" s="19"/>
      <c r="D86" s="19"/>
      <c r="E86" s="19"/>
      <c r="F86" s="19"/>
      <c r="G86" s="19"/>
      <c r="H86" s="21"/>
      <c r="I86" s="21"/>
      <c r="K86" s="17"/>
      <c r="L86" s="17"/>
      <c r="M86" s="17"/>
    </row>
    <row r="87" spans="1:13" s="38" customFormat="1" ht="12" customHeight="1">
      <c r="A87" s="18"/>
      <c r="B87" s="14"/>
      <c r="C87" s="19"/>
      <c r="D87" s="19"/>
      <c r="E87" s="19"/>
      <c r="F87" s="19"/>
      <c r="G87" s="19"/>
      <c r="H87" s="21"/>
      <c r="I87" s="21"/>
      <c r="K87" s="17"/>
      <c r="L87" s="17"/>
      <c r="M87" s="17"/>
    </row>
    <row r="88" spans="1:13" s="38" customFormat="1" ht="12" customHeight="1">
      <c r="A88" s="18"/>
      <c r="B88" s="14"/>
      <c r="C88" s="19"/>
      <c r="D88" s="19"/>
      <c r="E88" s="19"/>
      <c r="F88" s="19"/>
      <c r="G88" s="19"/>
      <c r="H88" s="21"/>
      <c r="I88" s="21"/>
      <c r="K88" s="17"/>
      <c r="L88" s="17"/>
      <c r="M88" s="17"/>
    </row>
    <row r="89" spans="1:13" s="38" customFormat="1" ht="12" customHeight="1">
      <c r="A89" s="18"/>
      <c r="B89" s="14"/>
      <c r="C89" s="19"/>
      <c r="D89" s="19"/>
      <c r="E89" s="19"/>
      <c r="F89" s="19"/>
      <c r="G89" s="19"/>
      <c r="H89" s="21"/>
      <c r="I89" s="21"/>
      <c r="K89" s="17"/>
      <c r="L89" s="17"/>
      <c r="M89" s="17"/>
    </row>
    <row r="90" spans="1:13" s="38" customFormat="1" ht="12" customHeight="1">
      <c r="A90" s="18"/>
      <c r="B90" s="14"/>
      <c r="C90" s="19"/>
      <c r="D90" s="19"/>
      <c r="E90" s="19"/>
      <c r="F90" s="19"/>
      <c r="G90" s="19"/>
      <c r="H90" s="21"/>
      <c r="I90" s="21"/>
      <c r="K90" s="17"/>
      <c r="L90" s="17"/>
      <c r="M90" s="17"/>
    </row>
    <row r="91" spans="1:13" s="38" customFormat="1" ht="12" customHeight="1">
      <c r="A91" s="18"/>
      <c r="B91" s="14"/>
      <c r="C91" s="19"/>
      <c r="D91" s="19"/>
      <c r="E91" s="19"/>
      <c r="F91" s="19"/>
      <c r="G91" s="19"/>
      <c r="H91" s="21"/>
      <c r="I91" s="21"/>
      <c r="K91" s="17"/>
      <c r="L91" s="17"/>
      <c r="M91" s="17"/>
    </row>
    <row r="92" spans="1:13" s="38" customFormat="1" ht="12" customHeight="1">
      <c r="A92" s="18"/>
      <c r="B92" s="14"/>
      <c r="C92" s="19"/>
      <c r="D92" s="19"/>
      <c r="E92" s="19"/>
      <c r="F92" s="19"/>
      <c r="G92" s="19"/>
      <c r="H92" s="21"/>
      <c r="I92" s="21"/>
      <c r="K92" s="17"/>
      <c r="L92" s="17"/>
      <c r="M92" s="17"/>
    </row>
    <row r="93" spans="1:13" s="38" customFormat="1" ht="12" customHeight="1">
      <c r="A93" s="18"/>
      <c r="B93" s="14"/>
      <c r="C93" s="19"/>
      <c r="D93" s="19"/>
      <c r="E93" s="19"/>
      <c r="F93" s="19"/>
      <c r="G93" s="19"/>
      <c r="H93" s="21"/>
      <c r="I93" s="21"/>
      <c r="K93" s="17"/>
      <c r="L93" s="17"/>
      <c r="M93" s="17"/>
    </row>
    <row r="94" spans="1:13" s="38" customFormat="1" ht="12" customHeight="1">
      <c r="A94" s="18"/>
      <c r="B94" s="14"/>
      <c r="C94" s="19"/>
      <c r="D94" s="19"/>
      <c r="E94" s="19"/>
      <c r="F94" s="19"/>
      <c r="G94" s="19"/>
      <c r="H94" s="21"/>
      <c r="I94" s="21"/>
      <c r="K94" s="17"/>
      <c r="L94" s="17"/>
      <c r="M94" s="17"/>
    </row>
    <row r="95" spans="1:13" s="38" customFormat="1" ht="12" customHeight="1">
      <c r="A95" s="18"/>
      <c r="B95" s="14"/>
      <c r="C95" s="19"/>
      <c r="D95" s="19"/>
      <c r="E95" s="19"/>
      <c r="F95" s="19"/>
      <c r="G95" s="19"/>
      <c r="H95" s="21"/>
      <c r="I95" s="21"/>
      <c r="K95" s="17"/>
      <c r="L95" s="17"/>
      <c r="M95" s="17"/>
    </row>
    <row r="96" spans="1:13" s="38" customFormat="1" ht="12" customHeight="1">
      <c r="A96" s="18"/>
      <c r="B96" s="14"/>
      <c r="C96" s="19"/>
      <c r="D96" s="19"/>
      <c r="E96" s="19"/>
      <c r="F96" s="19"/>
      <c r="G96" s="19"/>
      <c r="H96" s="21"/>
      <c r="I96" s="21"/>
      <c r="K96" s="17"/>
      <c r="L96" s="17"/>
      <c r="M96" s="17"/>
    </row>
    <row r="97" spans="1:13" s="38" customFormat="1" ht="12" customHeight="1">
      <c r="A97" s="18"/>
      <c r="B97" s="14"/>
      <c r="C97" s="19"/>
      <c r="D97" s="19"/>
      <c r="E97" s="19"/>
      <c r="F97" s="19"/>
      <c r="G97" s="19"/>
      <c r="H97" s="21"/>
      <c r="I97" s="21"/>
      <c r="K97" s="17"/>
      <c r="L97" s="17"/>
      <c r="M97" s="17"/>
    </row>
    <row r="98" spans="1:13" s="38" customFormat="1" ht="12" customHeight="1">
      <c r="A98" s="18"/>
      <c r="B98" s="14"/>
      <c r="C98" s="19"/>
      <c r="D98" s="19"/>
      <c r="E98" s="19"/>
      <c r="F98" s="19"/>
      <c r="G98" s="19"/>
      <c r="H98" s="21"/>
      <c r="I98" s="21"/>
      <c r="K98" s="17"/>
      <c r="L98" s="17"/>
      <c r="M98" s="17"/>
    </row>
    <row r="99" spans="1:13" s="38" customFormat="1" ht="12" customHeight="1">
      <c r="A99" s="18"/>
      <c r="B99" s="14"/>
      <c r="C99" s="19"/>
      <c r="D99" s="19"/>
      <c r="E99" s="19"/>
      <c r="F99" s="19"/>
      <c r="G99" s="19"/>
      <c r="H99" s="21"/>
      <c r="I99" s="21"/>
      <c r="K99" s="17"/>
      <c r="L99" s="17"/>
      <c r="M99" s="17"/>
    </row>
    <row r="100" spans="1:13" s="38" customFormat="1" ht="12" customHeight="1">
      <c r="A100" s="18"/>
      <c r="B100" s="14"/>
      <c r="C100" s="19"/>
      <c r="D100" s="19"/>
      <c r="E100" s="19"/>
      <c r="F100" s="19"/>
      <c r="G100" s="19"/>
      <c r="H100" s="21"/>
      <c r="I100" s="21"/>
      <c r="K100" s="17"/>
      <c r="L100" s="17"/>
      <c r="M100" s="17"/>
    </row>
    <row r="101" spans="1:13" s="38" customFormat="1" ht="12" customHeight="1">
      <c r="A101" s="18"/>
      <c r="B101" s="14"/>
      <c r="C101" s="19"/>
      <c r="D101" s="19"/>
      <c r="E101" s="19"/>
      <c r="F101" s="19"/>
      <c r="G101" s="19"/>
      <c r="H101" s="21"/>
      <c r="I101" s="21"/>
      <c r="K101" s="17"/>
      <c r="L101" s="17"/>
      <c r="M101" s="17"/>
    </row>
    <row r="102" spans="1:13" s="38" customFormat="1" ht="12" customHeight="1">
      <c r="A102" s="18"/>
      <c r="B102" s="14"/>
      <c r="C102" s="19"/>
      <c r="D102" s="19"/>
      <c r="E102" s="19"/>
      <c r="F102" s="19"/>
      <c r="G102" s="19"/>
      <c r="H102" s="21"/>
      <c r="I102" s="21"/>
      <c r="K102" s="17"/>
      <c r="L102" s="17"/>
      <c r="M102" s="17"/>
    </row>
    <row r="103" spans="1:13" s="38" customFormat="1" ht="12" customHeight="1">
      <c r="A103" s="18"/>
      <c r="B103" s="14"/>
      <c r="C103" s="19"/>
      <c r="D103" s="19"/>
      <c r="E103" s="19"/>
      <c r="F103" s="19"/>
      <c r="G103" s="19"/>
      <c r="H103" s="21"/>
      <c r="I103" s="21"/>
      <c r="K103" s="17"/>
      <c r="L103" s="17"/>
      <c r="M103" s="17"/>
    </row>
    <row r="104" spans="1:13" s="38" customFormat="1" ht="12" customHeight="1">
      <c r="A104" s="18"/>
      <c r="B104" s="14"/>
      <c r="C104" s="19"/>
      <c r="D104" s="19"/>
      <c r="E104" s="19"/>
      <c r="F104" s="19"/>
      <c r="G104" s="19"/>
      <c r="H104" s="21"/>
      <c r="I104" s="21"/>
      <c r="K104" s="17"/>
      <c r="L104" s="17"/>
      <c r="M104" s="17"/>
    </row>
    <row r="105" spans="1:13" s="38" customFormat="1" ht="12" customHeight="1">
      <c r="A105" s="18"/>
      <c r="B105" s="14"/>
      <c r="C105" s="19"/>
      <c r="D105" s="19"/>
      <c r="E105" s="19"/>
      <c r="F105" s="19"/>
      <c r="G105" s="19"/>
      <c r="H105" s="21"/>
      <c r="I105" s="21"/>
      <c r="K105" s="17"/>
      <c r="L105" s="17"/>
      <c r="M105" s="17"/>
    </row>
    <row r="106" spans="1:13" s="38" customFormat="1" ht="12" customHeight="1">
      <c r="A106" s="18"/>
      <c r="B106" s="14"/>
      <c r="C106" s="19"/>
      <c r="D106" s="19"/>
      <c r="E106" s="19"/>
      <c r="F106" s="19"/>
      <c r="G106" s="19"/>
      <c r="H106" s="21"/>
      <c r="I106" s="21"/>
      <c r="K106" s="17"/>
      <c r="L106" s="17"/>
      <c r="M106" s="17"/>
    </row>
    <row r="107" spans="1:13" s="38" customFormat="1" ht="12" customHeight="1">
      <c r="A107" s="18"/>
      <c r="B107" s="14"/>
      <c r="C107" s="19"/>
      <c r="D107" s="19"/>
      <c r="E107" s="19"/>
      <c r="F107" s="19"/>
      <c r="G107" s="19"/>
      <c r="H107" s="21"/>
      <c r="I107" s="21"/>
      <c r="K107" s="17"/>
      <c r="L107" s="17"/>
      <c r="M107" s="17"/>
    </row>
    <row r="108" spans="1:13" s="38" customFormat="1" ht="12" customHeight="1">
      <c r="A108" s="18"/>
      <c r="B108" s="14"/>
      <c r="C108" s="19"/>
      <c r="D108" s="19"/>
      <c r="E108" s="19"/>
      <c r="F108" s="19"/>
      <c r="G108" s="19"/>
      <c r="H108" s="21"/>
      <c r="I108" s="21"/>
      <c r="K108" s="17"/>
      <c r="L108" s="17"/>
      <c r="M108" s="17"/>
    </row>
    <row r="109" spans="1:13" s="38" customFormat="1" ht="12" customHeight="1">
      <c r="A109" s="18"/>
      <c r="B109" s="14"/>
      <c r="C109" s="19"/>
      <c r="D109" s="19"/>
      <c r="E109" s="19"/>
      <c r="F109" s="19"/>
      <c r="G109" s="19"/>
      <c r="H109" s="21"/>
      <c r="I109" s="21"/>
      <c r="K109" s="17"/>
      <c r="L109" s="17"/>
      <c r="M109" s="17"/>
    </row>
    <row r="110" spans="1:13" s="38" customFormat="1" ht="12" customHeight="1">
      <c r="A110" s="18"/>
      <c r="B110" s="14"/>
      <c r="C110" s="19"/>
      <c r="D110" s="19"/>
      <c r="E110" s="19"/>
      <c r="F110" s="19"/>
      <c r="G110" s="19"/>
      <c r="H110" s="21"/>
      <c r="I110" s="21"/>
      <c r="K110" s="17"/>
      <c r="L110" s="17"/>
      <c r="M110" s="17"/>
    </row>
    <row r="111" spans="1:13" s="38" customFormat="1" ht="12" customHeight="1">
      <c r="A111" s="18"/>
      <c r="B111" s="14"/>
      <c r="C111" s="19"/>
      <c r="D111" s="19"/>
      <c r="E111" s="19"/>
      <c r="F111" s="19"/>
      <c r="G111" s="19"/>
      <c r="H111" s="21"/>
      <c r="I111" s="21"/>
      <c r="K111" s="17"/>
      <c r="L111" s="17"/>
      <c r="M111" s="17"/>
    </row>
    <row r="112" spans="1:13" s="38" customFormat="1" ht="12" customHeight="1">
      <c r="A112" s="18"/>
      <c r="B112" s="14"/>
      <c r="C112" s="19"/>
      <c r="D112" s="19"/>
      <c r="E112" s="19"/>
      <c r="F112" s="19"/>
      <c r="G112" s="19"/>
      <c r="H112" s="21"/>
      <c r="I112" s="21"/>
      <c r="K112" s="17"/>
      <c r="L112" s="17"/>
      <c r="M112" s="17"/>
    </row>
    <row r="113" spans="1:13" s="38" customFormat="1" ht="12" customHeight="1">
      <c r="A113" s="18"/>
      <c r="B113" s="14"/>
      <c r="C113" s="19"/>
      <c r="D113" s="19"/>
      <c r="E113" s="19"/>
      <c r="F113" s="19"/>
      <c r="G113" s="19"/>
      <c r="H113" s="21"/>
      <c r="I113" s="21"/>
      <c r="K113" s="17"/>
      <c r="L113" s="17"/>
      <c r="M113" s="17"/>
    </row>
    <row r="114" spans="1:13" s="38" customFormat="1" ht="12" customHeight="1">
      <c r="A114" s="18"/>
      <c r="B114" s="14"/>
      <c r="C114" s="19"/>
      <c r="D114" s="19"/>
      <c r="E114" s="19"/>
      <c r="F114" s="19"/>
      <c r="G114" s="19"/>
      <c r="H114" s="21"/>
      <c r="I114" s="21"/>
      <c r="K114" s="17"/>
      <c r="L114" s="17"/>
      <c r="M114" s="17"/>
    </row>
    <row r="115" spans="1:13" s="38" customFormat="1" ht="12" customHeight="1">
      <c r="A115" s="18"/>
      <c r="B115" s="14"/>
      <c r="C115" s="19"/>
      <c r="D115" s="19"/>
      <c r="E115" s="19"/>
      <c r="F115" s="19"/>
      <c r="G115" s="19"/>
      <c r="H115" s="21"/>
      <c r="I115" s="21"/>
      <c r="K115" s="17"/>
      <c r="L115" s="17"/>
      <c r="M115" s="17"/>
    </row>
    <row r="116" spans="1:13" s="38" customFormat="1" ht="12" customHeight="1">
      <c r="A116" s="18"/>
      <c r="B116" s="14"/>
      <c r="C116" s="19"/>
      <c r="D116" s="19"/>
      <c r="E116" s="19"/>
      <c r="F116" s="19"/>
      <c r="G116" s="19"/>
      <c r="H116" s="21"/>
      <c r="I116" s="21"/>
      <c r="K116" s="17"/>
      <c r="L116" s="17"/>
      <c r="M116" s="17"/>
    </row>
    <row r="117" spans="1:13" s="38" customFormat="1" ht="12" customHeight="1">
      <c r="A117" s="18"/>
      <c r="B117" s="14"/>
      <c r="C117" s="19"/>
      <c r="D117" s="19"/>
      <c r="E117" s="19"/>
      <c r="F117" s="19"/>
      <c r="G117" s="19"/>
      <c r="H117" s="21"/>
      <c r="I117" s="21"/>
      <c r="K117" s="17"/>
      <c r="L117" s="17"/>
      <c r="M117" s="17"/>
    </row>
    <row r="118" spans="1:13" s="38" customFormat="1" ht="12" customHeight="1">
      <c r="A118" s="18"/>
      <c r="B118" s="14"/>
      <c r="C118" s="19"/>
      <c r="D118" s="19"/>
      <c r="E118" s="19"/>
      <c r="F118" s="19"/>
      <c r="G118" s="19"/>
      <c r="H118" s="21"/>
      <c r="I118" s="21"/>
      <c r="K118" s="17"/>
      <c r="L118" s="17"/>
      <c r="M118" s="17"/>
    </row>
    <row r="119" spans="1:13" s="38" customFormat="1" ht="12" customHeight="1">
      <c r="A119" s="18"/>
      <c r="B119" s="14"/>
      <c r="C119" s="19"/>
      <c r="D119" s="19"/>
      <c r="E119" s="19"/>
      <c r="F119" s="19"/>
      <c r="G119" s="19"/>
      <c r="H119" s="21"/>
      <c r="I119" s="21"/>
      <c r="K119" s="17"/>
      <c r="L119" s="17"/>
      <c r="M119" s="17"/>
    </row>
    <row r="120" spans="1:13" s="38" customFormat="1" ht="12" customHeight="1">
      <c r="A120" s="18"/>
      <c r="B120" s="14"/>
      <c r="C120" s="19"/>
      <c r="D120" s="19"/>
      <c r="E120" s="19"/>
      <c r="F120" s="19"/>
      <c r="G120" s="19"/>
      <c r="H120" s="21"/>
      <c r="I120" s="21"/>
      <c r="K120" s="17"/>
      <c r="L120" s="17"/>
      <c r="M120" s="17"/>
    </row>
  </sheetData>
  <mergeCells count="16">
    <mergeCell ref="B16:M16"/>
    <mergeCell ref="B4:B5"/>
    <mergeCell ref="C4:C5"/>
    <mergeCell ref="N4:N5"/>
    <mergeCell ref="O4:O5"/>
    <mergeCell ref="A7:M7"/>
    <mergeCell ref="A8:M8"/>
    <mergeCell ref="B9:M9"/>
    <mergeCell ref="F4:G4"/>
    <mergeCell ref="L4:L5"/>
    <mergeCell ref="M4:M5"/>
    <mergeCell ref="D4:D5"/>
    <mergeCell ref="E4:E5"/>
    <mergeCell ref="H4:J4"/>
    <mergeCell ref="K4:K5"/>
    <mergeCell ref="A4:A5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P51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4.33203125" style="207" bestFit="1" customWidth="1"/>
    <col min="2" max="2" width="28.88671875" style="207" customWidth="1"/>
    <col min="3" max="3" width="28.5546875" style="207" customWidth="1"/>
    <col min="4" max="4" width="10.5546875" style="207" customWidth="1"/>
    <col min="5" max="5" width="9.6640625" style="207" bestFit="1" customWidth="1"/>
    <col min="6" max="8" width="10.33203125" style="207" bestFit="1" customWidth="1"/>
    <col min="9" max="9" width="10.109375" style="207" bestFit="1" customWidth="1"/>
    <col min="10" max="10" width="9.5546875" style="207" customWidth="1"/>
    <col min="11" max="11" width="9.5546875" style="207" bestFit="1" customWidth="1"/>
    <col min="12" max="12" width="8.44140625" style="207" customWidth="1"/>
    <col min="13" max="13" width="7.88671875" style="207" customWidth="1"/>
    <col min="14" max="14" width="8.88671875" style="207"/>
    <col min="15" max="15" width="9.77734375" style="207" customWidth="1"/>
    <col min="16" max="16384" width="8.88671875" style="207"/>
  </cols>
  <sheetData>
    <row r="1" spans="1:16" s="7" customFormat="1" ht="50.1" customHeight="1">
      <c r="A1" s="95"/>
      <c r="B1" s="724" t="s">
        <v>694</v>
      </c>
      <c r="C1" s="98" t="s">
        <v>610</v>
      </c>
      <c r="D1" s="95"/>
      <c r="E1" s="96"/>
      <c r="F1" s="95"/>
      <c r="G1" s="95"/>
      <c r="H1" s="3"/>
      <c r="I1" s="3"/>
      <c r="J1" s="94"/>
      <c r="K1" s="3"/>
      <c r="L1" s="96"/>
      <c r="M1" s="95"/>
      <c r="N1" s="95"/>
      <c r="O1" s="3"/>
      <c r="P1" s="3"/>
    </row>
    <row r="2" spans="1:16" s="51" customFormat="1" ht="9.9499999999999993" customHeight="1">
      <c r="A2" s="132"/>
      <c r="B2" s="132"/>
      <c r="C2" s="132"/>
      <c r="D2" s="132"/>
      <c r="E2" s="132"/>
      <c r="F2" s="132"/>
      <c r="G2" s="132"/>
      <c r="H2" s="50"/>
      <c r="I2" s="50"/>
      <c r="J2" s="50"/>
      <c r="K2" s="50"/>
      <c r="L2" s="50"/>
      <c r="M2" s="50"/>
    </row>
    <row r="3" spans="1:16" s="723" customFormat="1" ht="33" customHeight="1" thickBot="1">
      <c r="A3" s="720"/>
      <c r="B3" s="719" t="s">
        <v>21</v>
      </c>
      <c r="C3" s="720"/>
      <c r="D3" s="720"/>
      <c r="E3" s="719"/>
      <c r="F3" s="720"/>
      <c r="G3" s="720"/>
      <c r="H3" s="721"/>
      <c r="I3" s="721"/>
      <c r="J3" s="722"/>
      <c r="K3" s="721"/>
      <c r="L3" s="721"/>
      <c r="M3" s="721"/>
    </row>
    <row r="4" spans="1:16" s="47" customFormat="1" ht="33" customHeight="1">
      <c r="A4" s="992" t="s">
        <v>15</v>
      </c>
      <c r="B4" s="994" t="s">
        <v>16</v>
      </c>
      <c r="C4" s="1005" t="s">
        <v>17</v>
      </c>
      <c r="D4" s="1005" t="s">
        <v>662</v>
      </c>
      <c r="E4" s="1007" t="s">
        <v>660</v>
      </c>
      <c r="F4" s="996" t="s">
        <v>22</v>
      </c>
      <c r="G4" s="997"/>
      <c r="H4" s="997" t="s">
        <v>23</v>
      </c>
      <c r="I4" s="997"/>
      <c r="J4" s="998"/>
      <c r="K4" s="999" t="s">
        <v>659</v>
      </c>
      <c r="L4" s="999" t="s">
        <v>658</v>
      </c>
      <c r="M4" s="999" t="s">
        <v>24</v>
      </c>
      <c r="N4" s="1001" t="s">
        <v>25</v>
      </c>
      <c r="O4" s="987" t="s">
        <v>19</v>
      </c>
    </row>
    <row r="5" spans="1:16" s="47" customFormat="1" ht="33" customHeight="1">
      <c r="A5" s="993"/>
      <c r="B5" s="995"/>
      <c r="C5" s="1006"/>
      <c r="D5" s="1006"/>
      <c r="E5" s="1008"/>
      <c r="F5" s="783" t="s">
        <v>26</v>
      </c>
      <c r="G5" s="790" t="s">
        <v>661</v>
      </c>
      <c r="H5" s="783" t="s">
        <v>27</v>
      </c>
      <c r="I5" s="783" t="s">
        <v>28</v>
      </c>
      <c r="J5" s="174" t="s">
        <v>29</v>
      </c>
      <c r="K5" s="1000"/>
      <c r="L5" s="1000"/>
      <c r="M5" s="1000"/>
      <c r="N5" s="1002"/>
      <c r="O5" s="988"/>
    </row>
    <row r="6" spans="1:16" s="48" customFormat="1" ht="36" customHeight="1">
      <c r="A6" s="52">
        <v>1</v>
      </c>
      <c r="B6" s="61" t="s">
        <v>371</v>
      </c>
      <c r="C6" s="112" t="s">
        <v>329</v>
      </c>
      <c r="D6" s="61">
        <v>0</v>
      </c>
      <c r="E6" s="713">
        <v>10379</v>
      </c>
      <c r="F6" s="113">
        <v>37474</v>
      </c>
      <c r="G6" s="113">
        <v>40630</v>
      </c>
      <c r="H6" s="113">
        <v>37474</v>
      </c>
      <c r="I6" s="113">
        <v>39101</v>
      </c>
      <c r="J6" s="791">
        <f>I6-H6+1</f>
        <v>1628</v>
      </c>
      <c r="K6" s="191">
        <v>1600000</v>
      </c>
      <c r="L6" s="150">
        <f>(IF(K6&gt;=3300000,3,IF(K6&gt;=1650000,2,1)))</f>
        <v>1</v>
      </c>
      <c r="M6" s="150" t="s">
        <v>370</v>
      </c>
      <c r="N6" s="792">
        <f>J6/365*L6</f>
        <v>4.4602739726027396</v>
      </c>
      <c r="O6" s="177"/>
      <c r="P6" s="47"/>
    </row>
    <row r="7" spans="1:16" s="48" customFormat="1" ht="33" customHeight="1">
      <c r="A7" s="1003" t="s">
        <v>20</v>
      </c>
      <c r="B7" s="1004"/>
      <c r="C7" s="1004"/>
      <c r="D7" s="1004"/>
      <c r="E7" s="1004"/>
      <c r="F7" s="1004"/>
      <c r="G7" s="1004"/>
      <c r="H7" s="1004"/>
      <c r="I7" s="1004"/>
      <c r="J7" s="1004"/>
      <c r="K7" s="1004"/>
      <c r="L7" s="1004"/>
      <c r="M7" s="1004"/>
      <c r="N7" s="195">
        <f>SUM(N6:N6)</f>
        <v>4.4602739726027396</v>
      </c>
      <c r="O7" s="184"/>
    </row>
    <row r="8" spans="1:16" s="50" customFormat="1" ht="33" customHeight="1" thickBot="1">
      <c r="A8" s="989" t="s">
        <v>30</v>
      </c>
      <c r="B8" s="990"/>
      <c r="C8" s="990"/>
      <c r="D8" s="990"/>
      <c r="E8" s="990"/>
      <c r="F8" s="990"/>
      <c r="G8" s="990"/>
      <c r="H8" s="990"/>
      <c r="I8" s="990"/>
      <c r="J8" s="990"/>
      <c r="K8" s="990"/>
      <c r="L8" s="990"/>
      <c r="M8" s="990"/>
      <c r="N8" s="196">
        <f>N7</f>
        <v>4.4602739726027396</v>
      </c>
      <c r="O8" s="185"/>
    </row>
    <row r="9" spans="1:16" s="390" customFormat="1" ht="20.100000000000001" customHeight="1">
      <c r="A9" s="199" t="s">
        <v>666</v>
      </c>
      <c r="B9" s="985" t="s">
        <v>686</v>
      </c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</row>
    <row r="10" spans="1:16" s="390" customFormat="1" ht="20.100000000000001" customHeight="1">
      <c r="A10" s="200" t="s">
        <v>668</v>
      </c>
      <c r="B10" s="39" t="s">
        <v>687</v>
      </c>
      <c r="C10" s="39"/>
      <c r="D10" s="39"/>
      <c r="E10" s="39"/>
      <c r="F10" s="39"/>
      <c r="G10" s="39"/>
      <c r="H10" s="201"/>
      <c r="I10" s="201"/>
      <c r="J10" s="202"/>
      <c r="K10" s="202"/>
      <c r="L10" s="202"/>
      <c r="M10" s="203"/>
    </row>
    <row r="11" spans="1:16" s="390" customFormat="1" ht="20.100000000000001" customHeight="1">
      <c r="A11" s="199" t="s">
        <v>669</v>
      </c>
      <c r="B11" s="39" t="s">
        <v>0</v>
      </c>
      <c r="C11" s="39"/>
      <c r="D11" s="39"/>
      <c r="E11" s="39"/>
      <c r="F11" s="204"/>
      <c r="G11" s="204"/>
      <c r="H11" s="204"/>
      <c r="I11" s="204"/>
      <c r="J11" s="201"/>
      <c r="K11" s="201"/>
      <c r="L11" s="201"/>
      <c r="M11" s="205"/>
    </row>
    <row r="12" spans="1:16" s="390" customFormat="1" ht="20.100000000000001" customHeight="1">
      <c r="A12" s="200" t="s">
        <v>670</v>
      </c>
      <c r="B12" s="206" t="s">
        <v>664</v>
      </c>
      <c r="C12" s="206"/>
      <c r="D12" s="206"/>
      <c r="E12" s="206"/>
      <c r="F12" s="206"/>
      <c r="G12" s="206"/>
      <c r="H12" s="204"/>
      <c r="I12" s="204"/>
      <c r="J12" s="201"/>
      <c r="K12" s="201"/>
      <c r="L12" s="201"/>
      <c r="M12" s="205"/>
    </row>
    <row r="13" spans="1:16" s="390" customFormat="1" ht="20.100000000000001" customHeight="1">
      <c r="A13" s="199" t="s">
        <v>671</v>
      </c>
      <c r="B13" s="205" t="s">
        <v>1</v>
      </c>
      <c r="C13" s="39"/>
      <c r="D13" s="39"/>
      <c r="E13" s="39"/>
      <c r="F13" s="204"/>
      <c r="G13" s="204"/>
      <c r="H13" s="204"/>
      <c r="I13" s="204"/>
      <c r="J13" s="201"/>
      <c r="K13" s="201"/>
      <c r="L13" s="201"/>
      <c r="M13" s="205"/>
    </row>
    <row r="14" spans="1:16" s="390" customFormat="1" ht="20.100000000000001" customHeight="1">
      <c r="A14" s="200" t="s">
        <v>672</v>
      </c>
      <c r="B14" s="39" t="s">
        <v>688</v>
      </c>
      <c r="C14" s="39"/>
      <c r="D14" s="39"/>
      <c r="E14" s="39"/>
      <c r="F14" s="204"/>
      <c r="G14" s="204"/>
      <c r="H14" s="204"/>
      <c r="I14" s="204"/>
      <c r="J14" s="201"/>
      <c r="K14" s="201"/>
      <c r="L14" s="201"/>
      <c r="M14" s="205"/>
    </row>
    <row r="15" spans="1:16" s="390" customFormat="1" ht="20.100000000000001" customHeight="1">
      <c r="A15" s="199" t="s">
        <v>673</v>
      </c>
      <c r="B15" s="39" t="s">
        <v>684</v>
      </c>
      <c r="C15" s="39"/>
      <c r="D15" s="39"/>
      <c r="E15" s="39"/>
      <c r="F15" s="39"/>
      <c r="G15" s="39"/>
      <c r="H15" s="201"/>
      <c r="I15" s="201"/>
      <c r="J15" s="202"/>
      <c r="K15" s="202"/>
      <c r="L15" s="202"/>
      <c r="M15" s="203"/>
    </row>
    <row r="16" spans="1:16" s="390" customFormat="1" ht="20.100000000000001" customHeight="1">
      <c r="A16" s="200" t="s">
        <v>674</v>
      </c>
      <c r="B16" s="986" t="s">
        <v>685</v>
      </c>
      <c r="C16" s="986"/>
      <c r="D16" s="986"/>
      <c r="E16" s="986"/>
      <c r="F16" s="986"/>
      <c r="G16" s="986"/>
      <c r="H16" s="986"/>
      <c r="I16" s="986"/>
      <c r="J16" s="986"/>
      <c r="K16" s="986"/>
      <c r="L16" s="986"/>
      <c r="M16" s="986"/>
    </row>
    <row r="17" s="390" customFormat="1" ht="20.100000000000001" customHeight="1"/>
    <row r="18" s="390" customFormat="1" ht="20.100000000000001" customHeight="1"/>
    <row r="19" s="390" customFormat="1" ht="20.100000000000001" customHeight="1"/>
    <row r="20" s="390" customFormat="1" ht="20.100000000000001" customHeight="1"/>
    <row r="21" s="390" customFormat="1" ht="20.100000000000001" customHeight="1"/>
    <row r="22" s="390" customFormat="1" ht="20.100000000000001" customHeight="1"/>
    <row r="23" s="390" customFormat="1" ht="12"/>
    <row r="24" s="390" customFormat="1" ht="12"/>
    <row r="25" s="390" customFormat="1" ht="12"/>
    <row r="26" s="390" customFormat="1" ht="12"/>
    <row r="27" s="390" customFormat="1" ht="12"/>
    <row r="28" s="390" customFormat="1" ht="12"/>
    <row r="29" s="390" customFormat="1" ht="12"/>
    <row r="30" s="390" customFormat="1" ht="12"/>
    <row r="31" s="390" customFormat="1" ht="12"/>
    <row r="32" s="390" customFormat="1" ht="12"/>
    <row r="33" s="390" customFormat="1" ht="12"/>
    <row r="34" s="390" customFormat="1" ht="12"/>
    <row r="35" s="390" customFormat="1" ht="12"/>
    <row r="36" s="390" customFormat="1" ht="12"/>
    <row r="37" s="390" customFormat="1" ht="12"/>
    <row r="38" s="390" customFormat="1" ht="12"/>
    <row r="39" s="390" customFormat="1" ht="12"/>
    <row r="40" s="390" customFormat="1" ht="12"/>
    <row r="41" s="390" customFormat="1" ht="12"/>
    <row r="42" s="390" customFormat="1" ht="12"/>
    <row r="43" s="390" customFormat="1" ht="12"/>
    <row r="44" s="390" customFormat="1" ht="12"/>
    <row r="45" s="390" customFormat="1" ht="12"/>
    <row r="46" s="390" customFormat="1" ht="12"/>
    <row r="47" s="390" customFormat="1" ht="12"/>
    <row r="48" s="390" customFormat="1" ht="12"/>
    <row r="49" s="390" customFormat="1" ht="12"/>
    <row r="50" s="390" customFormat="1" ht="12"/>
    <row r="51" s="390" customFormat="1" ht="12"/>
  </sheetData>
  <mergeCells count="16">
    <mergeCell ref="B9:M9"/>
    <mergeCell ref="B16:M16"/>
    <mergeCell ref="N4:N5"/>
    <mergeCell ref="O4:O5"/>
    <mergeCell ref="A7:M7"/>
    <mergeCell ref="A8:M8"/>
    <mergeCell ref="H4:J4"/>
    <mergeCell ref="K4:K5"/>
    <mergeCell ref="L4:L5"/>
    <mergeCell ref="M4:M5"/>
    <mergeCell ref="A4:A5"/>
    <mergeCell ref="B4:B5"/>
    <mergeCell ref="C4:C5"/>
    <mergeCell ref="D4:D5"/>
    <mergeCell ref="E4:E5"/>
    <mergeCell ref="F4:G4"/>
  </mergeCells>
  <phoneticPr fontId="2" type="noConversion"/>
  <printOptions horizontalCentered="1"/>
  <pageMargins left="0.74803149606299213" right="0.74803149606299213" top="0.62992125984251968" bottom="0.6692913385826772" header="0.51181102362204722" footer="0.51181102362204722"/>
  <pageSetup paperSize="9" scale="63" fitToHeight="3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40</vt:i4>
      </vt:variant>
      <vt:variant>
        <vt:lpstr>이름이 지정된 범위</vt:lpstr>
      </vt:variant>
      <vt:variant>
        <vt:i4>55</vt:i4>
      </vt:variant>
    </vt:vector>
  </HeadingPairs>
  <TitlesOfParts>
    <vt:vector size="95" baseType="lpstr">
      <vt:lpstr>작성요령</vt:lpstr>
      <vt:lpstr>참여업체</vt:lpstr>
      <vt:lpstr>배점기준</vt:lpstr>
      <vt:lpstr>종합</vt:lpstr>
      <vt:lpstr>기술인</vt:lpstr>
      <vt:lpstr>사업책임기술인경력</vt:lpstr>
      <vt:lpstr>사업책임기술인(000)</vt:lpstr>
      <vt:lpstr>도시계획책임(000)</vt:lpstr>
      <vt:lpstr>토질지질책임(000)</vt:lpstr>
      <vt:lpstr>도로공항책임(000)</vt:lpstr>
      <vt:lpstr>토목구조책임(000)</vt:lpstr>
      <vt:lpstr>상하수도분책(000)</vt:lpstr>
      <vt:lpstr>조경분책(000)</vt:lpstr>
      <vt:lpstr>도시계획참여(000)</vt:lpstr>
      <vt:lpstr>토질지질참여(000)</vt:lpstr>
      <vt:lpstr>도로공항참여(000)</vt:lpstr>
      <vt:lpstr>토목구조참여(000)</vt:lpstr>
      <vt:lpstr>상하수도참여(000)</vt:lpstr>
      <vt:lpstr>조경참여(000)</vt:lpstr>
      <vt:lpstr>교육훈련</vt:lpstr>
      <vt:lpstr>전차용역(기술인)</vt:lpstr>
      <vt:lpstr>유사용역</vt:lpstr>
      <vt:lpstr>유사(000)</vt:lpstr>
      <vt:lpstr>유사(0001)</vt:lpstr>
      <vt:lpstr>유사(0002)</vt:lpstr>
      <vt:lpstr>전차용역(업체)</vt:lpstr>
      <vt:lpstr>용역수행성과</vt:lpstr>
      <vt:lpstr>신용도</vt:lpstr>
      <vt:lpstr>부실벌점</vt:lpstr>
      <vt:lpstr>기술투자</vt:lpstr>
      <vt:lpstr>개발(000)</vt:lpstr>
      <vt:lpstr>개발(0001)</vt:lpstr>
      <vt:lpstr>개발(0002)</vt:lpstr>
      <vt:lpstr>활용(000)</vt:lpstr>
      <vt:lpstr>활용(0001)</vt:lpstr>
      <vt:lpstr>활용(0002)</vt:lpstr>
      <vt:lpstr>중소기업 상생발전</vt:lpstr>
      <vt:lpstr>업무중복도</vt:lpstr>
      <vt:lpstr>중첩신고</vt:lpstr>
      <vt:lpstr>가감점</vt:lpstr>
      <vt:lpstr>가감점!Print_Area</vt:lpstr>
      <vt:lpstr>'개발(000)'!Print_Area</vt:lpstr>
      <vt:lpstr>'개발(0001)'!Print_Area</vt:lpstr>
      <vt:lpstr>'개발(0002)'!Print_Area</vt:lpstr>
      <vt:lpstr>교육훈련!Print_Area</vt:lpstr>
      <vt:lpstr>기술인!Print_Area</vt:lpstr>
      <vt:lpstr>기술투자!Print_Area</vt:lpstr>
      <vt:lpstr>'도로공항참여(000)'!Print_Area</vt:lpstr>
      <vt:lpstr>'도로공항책임(000)'!Print_Area</vt:lpstr>
      <vt:lpstr>'도시계획참여(000)'!Print_Area</vt:lpstr>
      <vt:lpstr>'도시계획책임(000)'!Print_Area</vt:lpstr>
      <vt:lpstr>배점기준!Print_Area</vt:lpstr>
      <vt:lpstr>부실벌점!Print_Area</vt:lpstr>
      <vt:lpstr>'사업책임기술인(000)'!Print_Area</vt:lpstr>
      <vt:lpstr>사업책임기술인경력!Print_Area</vt:lpstr>
      <vt:lpstr>'상하수도분책(000)'!Print_Area</vt:lpstr>
      <vt:lpstr>'상하수도참여(000)'!Print_Area</vt:lpstr>
      <vt:lpstr>신용도!Print_Area</vt:lpstr>
      <vt:lpstr>업무중복도!Print_Area</vt:lpstr>
      <vt:lpstr>용역수행성과!Print_Area</vt:lpstr>
      <vt:lpstr>'유사(000)'!Print_Area</vt:lpstr>
      <vt:lpstr>'유사(0001)'!Print_Area</vt:lpstr>
      <vt:lpstr>'유사(0002)'!Print_Area</vt:lpstr>
      <vt:lpstr>유사용역!Print_Area</vt:lpstr>
      <vt:lpstr>'전차용역(기술인)'!Print_Area</vt:lpstr>
      <vt:lpstr>'전차용역(업체)'!Print_Area</vt:lpstr>
      <vt:lpstr>'조경분책(000)'!Print_Area</vt:lpstr>
      <vt:lpstr>'조경참여(000)'!Print_Area</vt:lpstr>
      <vt:lpstr>종합!Print_Area</vt:lpstr>
      <vt:lpstr>'중소기업 상생발전'!Print_Area</vt:lpstr>
      <vt:lpstr>중첩신고!Print_Area</vt:lpstr>
      <vt:lpstr>참여업체!Print_Area</vt:lpstr>
      <vt:lpstr>'토목구조참여(000)'!Print_Area</vt:lpstr>
      <vt:lpstr>'토목구조책임(000)'!Print_Area</vt:lpstr>
      <vt:lpstr>'토질지질참여(000)'!Print_Area</vt:lpstr>
      <vt:lpstr>'토질지질책임(000)'!Print_Area</vt:lpstr>
      <vt:lpstr>'활용(000)'!Print_Area</vt:lpstr>
      <vt:lpstr>'활용(0001)'!Print_Area</vt:lpstr>
      <vt:lpstr>'활용(0002)'!Print_Area</vt:lpstr>
      <vt:lpstr>'개발(0001)'!Print_Titles</vt:lpstr>
      <vt:lpstr>'개발(0002)'!Print_Titles</vt:lpstr>
      <vt:lpstr>교육훈련!Print_Titles</vt:lpstr>
      <vt:lpstr>'도로공항참여(000)'!Print_Titles</vt:lpstr>
      <vt:lpstr>'도시계획참여(000)'!Print_Titles</vt:lpstr>
      <vt:lpstr>'도시계획책임(000)'!Print_Titles</vt:lpstr>
      <vt:lpstr>'유사(000)'!Print_Titles</vt:lpstr>
      <vt:lpstr>'유사(0001)'!Print_Titles</vt:lpstr>
      <vt:lpstr>'유사(0002)'!Print_Titles</vt:lpstr>
      <vt:lpstr>'토목구조참여(000)'!Print_Titles</vt:lpstr>
      <vt:lpstr>'토질지질참여(000)'!Print_Titles</vt:lpstr>
      <vt:lpstr>'활용(000)'!Print_Titles</vt:lpstr>
      <vt:lpstr>'활용(0001)'!Print_Titles</vt:lpstr>
      <vt:lpstr>'활용(0002)'!Print_Titles</vt:lpstr>
      <vt:lpstr>기준</vt:lpstr>
      <vt:lpstr>회사채</vt:lpstr>
    </vt:vector>
  </TitlesOfParts>
  <Company>LH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100101_PQ평가 지침평가표</dc:title>
  <dc:creator>박광민</dc:creator>
  <cp:lastModifiedBy>정호수</cp:lastModifiedBy>
  <cp:lastPrinted>2022-04-18T08:29:01Z</cp:lastPrinted>
  <dcterms:created xsi:type="dcterms:W3CDTF">2005-06-07T00:13:25Z</dcterms:created>
  <dcterms:modified xsi:type="dcterms:W3CDTF">2022-09-27T06:10:45Z</dcterms:modified>
</cp:coreProperties>
</file>