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H\Desktop\"/>
    </mc:Choice>
  </mc:AlternateContent>
  <bookViews>
    <workbookView xWindow="0" yWindow="0" windowWidth="28800" windowHeight="12435" tabRatio="867"/>
  </bookViews>
  <sheets>
    <sheet name="작성요령" sheetId="61" r:id="rId1"/>
    <sheet name="참여업체" sheetId="19" r:id="rId2"/>
    <sheet name="배점기준" sheetId="18" r:id="rId3"/>
    <sheet name="기술자" sheetId="7" r:id="rId4"/>
    <sheet name="종합" sheetId="132" r:id="rId5"/>
    <sheet name="사업책임기술자경력" sheetId="173" r:id="rId6"/>
    <sheet name="사업책임기술자(000)" sheetId="151" r:id="rId7"/>
    <sheet name="도시계획책임(000)" sheetId="152" r:id="rId8"/>
    <sheet name="토질지질책임(000)" sheetId="174" r:id="rId9"/>
    <sheet name="도로공항책임(000)" sheetId="166" r:id="rId10"/>
    <sheet name="토목구조책임(000)" sheetId="170" r:id="rId11"/>
    <sheet name="상하수도분책(000)" sheetId="165" r:id="rId12"/>
    <sheet name="도시계획참여(000)" sheetId="156" r:id="rId13"/>
    <sheet name="토질지질참여(000)" sheetId="167" r:id="rId14"/>
    <sheet name="도로공항참여(000)" sheetId="157" r:id="rId15"/>
    <sheet name="토목구조참여(000)" sheetId="168" r:id="rId16"/>
    <sheet name="상하수도참여(000)" sheetId="163" r:id="rId17"/>
    <sheet name="교육훈련" sheetId="124" r:id="rId18"/>
    <sheet name="전차용역(기술자)" sheetId="125" r:id="rId19"/>
    <sheet name="유사용역" sheetId="9" r:id="rId20"/>
    <sheet name="유사(000)" sheetId="95" r:id="rId21"/>
    <sheet name="유사(0001)" sheetId="148" r:id="rId22"/>
    <sheet name="유사(0002)" sheetId="162" r:id="rId23"/>
    <sheet name="전차용역" sheetId="81" r:id="rId24"/>
    <sheet name="용역수행성과" sheetId="175" r:id="rId25"/>
    <sheet name="신용도" sheetId="31" r:id="rId26"/>
    <sheet name="부실벌점" sheetId="122" r:id="rId27"/>
    <sheet name="기술투자" sheetId="32" r:id="rId28"/>
    <sheet name="개발(000)" sheetId="171" r:id="rId29"/>
    <sheet name="개발(0001)" sheetId="149" r:id="rId30"/>
    <sheet name="개발(0002)" sheetId="55" r:id="rId31"/>
    <sheet name="활용(000)" sheetId="172" r:id="rId32"/>
    <sheet name="활용(0001)" sheetId="150" r:id="rId33"/>
    <sheet name="활용(0002)" sheetId="56" r:id="rId34"/>
    <sheet name="중소기업 상생발전" sheetId="176" r:id="rId35"/>
    <sheet name="업무중복도" sheetId="129" r:id="rId36"/>
    <sheet name="중첩신고" sheetId="97" r:id="rId37"/>
    <sheet name="가감점" sheetId="36" r:id="rId38"/>
    <sheet name="Sheet1" sheetId="130" r:id="rId39"/>
  </sheets>
  <externalReferences>
    <externalReference r:id="rId40"/>
    <externalReference r:id="rId41"/>
  </externalReferences>
  <definedNames>
    <definedName name="_xlnm._FilterDatabase" localSheetId="19" hidden="1">유사용역!$C$3:$H$6</definedName>
    <definedName name="ddd">#REF!</definedName>
    <definedName name="_xlnm.Print_Area" localSheetId="37">가감점!$A$1:$F$7</definedName>
    <definedName name="_xlnm.Print_Area" localSheetId="28">'개발(000)'!$A$1:$K$16</definedName>
    <definedName name="_xlnm.Print_Area" localSheetId="29">'개발(0001)'!$A$1:$J$14</definedName>
    <definedName name="_xlnm.Print_Area" localSheetId="30">'개발(0002)'!$A$1:$J$14</definedName>
    <definedName name="_xlnm.Print_Area" localSheetId="17">교육훈련!$A$1:$G$16</definedName>
    <definedName name="_xlnm.Print_Area" localSheetId="3">기술자!$A$1:$K$37</definedName>
    <definedName name="_xlnm.Print_Area" localSheetId="27">기술투자!$A$1:$O$29</definedName>
    <definedName name="_xlnm.Print_Area" localSheetId="14">'도로공항참여(000)'!$A$1:$Q$8</definedName>
    <definedName name="_xlnm.Print_Area" localSheetId="9">'도로공항책임(000)'!$A$1:$S$8</definedName>
    <definedName name="_xlnm.Print_Area" localSheetId="12">'도시계획참여(000)'!$A$1:$S$8</definedName>
    <definedName name="_xlnm.Print_Area" localSheetId="7">'도시계획책임(000)'!$A$1:$S$9</definedName>
    <definedName name="_xlnm.Print_Area" localSheetId="2">배점기준!$A$1:$I$133</definedName>
    <definedName name="_xlnm.Print_Area" localSheetId="26">부실벌점!$A$1:$G$22</definedName>
    <definedName name="_xlnm.Print_Area" localSheetId="6">'사업책임기술자(000)'!$A$1:$S$35</definedName>
    <definedName name="_xlnm.Print_Area" localSheetId="5">사업책임기술자경력!$A$1:$I$14</definedName>
    <definedName name="_xlnm.Print_Area" localSheetId="25">신용도!$A$1:$L$16</definedName>
    <definedName name="_xlnm.Print_Area" localSheetId="35">업무중복도!$A$1:$Y$20</definedName>
    <definedName name="_xlnm.Print_Area" localSheetId="24">용역수행성과!$A$1:$G$7</definedName>
    <definedName name="_xlnm.Print_Area" localSheetId="20">'유사(000)'!$A$1:$N$10</definedName>
    <definedName name="_xlnm.Print_Area" localSheetId="21">'유사(0001)'!$A$1:$N$8</definedName>
    <definedName name="_xlnm.Print_Area" localSheetId="22">'유사(0002)'!$A$1:$N$10</definedName>
    <definedName name="_xlnm.Print_Area" localSheetId="19">유사용역!$A$1:$H$12</definedName>
    <definedName name="_xlnm.Print_Area" localSheetId="23">전차용역!$B$1:$E$10</definedName>
    <definedName name="_xlnm.Print_Area" localSheetId="18">'전차용역(기술자)'!$A$1:$H$10</definedName>
    <definedName name="_xlnm.Print_Area" localSheetId="4">종합!$A$1:$G$34</definedName>
    <definedName name="_xlnm.Print_Area" localSheetId="36">중첩신고!$A$1:$K$138</definedName>
    <definedName name="_xlnm.Print_Area" localSheetId="1">참여업체!$B$1:$G$7</definedName>
    <definedName name="_xlnm.Print_Area" localSheetId="15">'토목구조참여(000)'!$A$1:$Q$8</definedName>
    <definedName name="_xlnm.Print_Area" localSheetId="10">'토목구조책임(000)'!$A$1:$S$8</definedName>
    <definedName name="_xlnm.Print_Area" localSheetId="13">'토질지질참여(000)'!$A$1:$S$8</definedName>
    <definedName name="_xlnm.Print_Area" localSheetId="31">'활용(000)'!$A$1:$K$10</definedName>
    <definedName name="_xlnm.Print_Area" localSheetId="32">'활용(0001)'!$A$1:$K$14</definedName>
    <definedName name="_xlnm.Print_Area" localSheetId="33">'활용(0002)'!$A$1:$K$16</definedName>
    <definedName name="_xlnm.Print_Area">#REF!</definedName>
    <definedName name="_xlnm.Print_Titles" localSheetId="29">'개발(0001)'!$2:$2</definedName>
    <definedName name="_xlnm.Print_Titles" localSheetId="30">'개발(0002)'!$2:$2</definedName>
    <definedName name="_xlnm.Print_Titles" localSheetId="17">교육훈련!$3:$3</definedName>
    <definedName name="_xlnm.Print_Titles" localSheetId="14">'도로공항참여(000)'!$1:$5</definedName>
    <definedName name="_xlnm.Print_Titles" localSheetId="12">'도시계획참여(000)'!$1:$1</definedName>
    <definedName name="_xlnm.Print_Titles" localSheetId="7">'도시계획책임(000)'!$1:$6</definedName>
    <definedName name="_xlnm.Print_Titles" localSheetId="20">'유사(000)'!$2:$3</definedName>
    <definedName name="_xlnm.Print_Titles" localSheetId="21">'유사(0001)'!$2:$3</definedName>
    <definedName name="_xlnm.Print_Titles" localSheetId="22">'유사(0002)'!$2:$3</definedName>
    <definedName name="_xlnm.Print_Titles" localSheetId="15">'토목구조참여(000)'!$1:$5</definedName>
    <definedName name="_xlnm.Print_Titles" localSheetId="13">'토질지질참여(000)'!$1:$1</definedName>
    <definedName name="_xlnm.Print_Titles" localSheetId="31">'활용(000)'!$2:$2</definedName>
    <definedName name="_xlnm.Print_Titles" localSheetId="32">'활용(0001)'!$2:$2</definedName>
    <definedName name="_xlnm.Print_Titles" localSheetId="33">'활용(0002)'!$2:$2</definedName>
    <definedName name="_xlnm.Print_Titles">#REF!</definedName>
    <definedName name="기준">신용도!$P$38</definedName>
    <definedName name="토목구조">#REF!</definedName>
    <definedName name="토목구조1">#REF!</definedName>
    <definedName name="회사채">신용도!$C$21:$C$39</definedName>
  </definedNames>
  <calcPr calcId="162913"/>
</workbook>
</file>

<file path=xl/calcChain.xml><?xml version="1.0" encoding="utf-8"?>
<calcChain xmlns="http://schemas.openxmlformats.org/spreadsheetml/2006/main">
  <c r="G27" i="132" l="1"/>
  <c r="F131" i="97"/>
  <c r="F130" i="97"/>
  <c r="F124" i="97"/>
  <c r="F123" i="97"/>
  <c r="F117" i="97"/>
  <c r="F116" i="97"/>
  <c r="F115" i="97"/>
  <c r="F108" i="97"/>
  <c r="F107" i="97"/>
  <c r="F106" i="97"/>
  <c r="F105" i="97"/>
  <c r="F100" i="97"/>
  <c r="F99" i="97"/>
  <c r="F91" i="97"/>
  <c r="F90" i="97"/>
  <c r="F84" i="97"/>
  <c r="F83" i="97"/>
  <c r="F77" i="97"/>
  <c r="F76" i="97"/>
  <c r="F75" i="97"/>
  <c r="F68" i="97"/>
  <c r="F67" i="97"/>
  <c r="F66" i="97"/>
  <c r="F65" i="97"/>
  <c r="F60" i="97"/>
  <c r="F59" i="97"/>
  <c r="H5" i="129" l="1"/>
  <c r="O5" i="129" s="1"/>
  <c r="V5" i="129" s="1"/>
  <c r="J5" i="129"/>
  <c r="Q5" i="129" s="1"/>
  <c r="X5" i="129" s="1"/>
  <c r="I5" i="129"/>
  <c r="P5" i="129" s="1"/>
  <c r="W5" i="129" s="1"/>
  <c r="G5" i="129"/>
  <c r="N5" i="129" s="1"/>
  <c r="U5" i="129" s="1"/>
  <c r="F5" i="129"/>
  <c r="M5" i="129" s="1"/>
  <c r="T5" i="129" s="1"/>
  <c r="E5" i="129"/>
  <c r="L5" i="129" s="1"/>
  <c r="S5" i="129" s="1"/>
  <c r="D15" i="129" l="1"/>
  <c r="H15" i="129" s="1"/>
  <c r="D14" i="129"/>
  <c r="E14" i="129" s="1"/>
  <c r="D13" i="129"/>
  <c r="H13" i="129" s="1"/>
  <c r="D12" i="129"/>
  <c r="G12" i="129" s="1"/>
  <c r="F13" i="176"/>
  <c r="G28" i="132" s="1"/>
  <c r="J3" i="55"/>
  <c r="J3" i="149"/>
  <c r="H15" i="31"/>
  <c r="H14" i="31"/>
  <c r="H13" i="31"/>
  <c r="G6" i="175"/>
  <c r="G21" i="132" s="1"/>
  <c r="O6" i="163"/>
  <c r="P6" i="163" s="1"/>
  <c r="M6" i="163"/>
  <c r="K6" i="163"/>
  <c r="H6" i="163"/>
  <c r="O6" i="168"/>
  <c r="P6" i="168" s="1"/>
  <c r="M6" i="168"/>
  <c r="K6" i="168"/>
  <c r="H6" i="168"/>
  <c r="O6" i="157"/>
  <c r="P6" i="157" s="1"/>
  <c r="M6" i="157"/>
  <c r="K6" i="157"/>
  <c r="H6" i="157"/>
  <c r="O6" i="167"/>
  <c r="P6" i="167" s="1"/>
  <c r="M6" i="167"/>
  <c r="K6" i="167"/>
  <c r="H6" i="167"/>
  <c r="O6" i="156"/>
  <c r="P6" i="156" s="1"/>
  <c r="M6" i="156"/>
  <c r="K6" i="156"/>
  <c r="H6" i="156"/>
  <c r="O6" i="165"/>
  <c r="P6" i="165" s="1"/>
  <c r="M6" i="165"/>
  <c r="K6" i="165"/>
  <c r="H6" i="165"/>
  <c r="O6" i="170"/>
  <c r="P6" i="170" s="1"/>
  <c r="M6" i="170"/>
  <c r="K6" i="170"/>
  <c r="H6" i="170"/>
  <c r="O7" i="174"/>
  <c r="P7" i="174" s="1"/>
  <c r="M7" i="174"/>
  <c r="K7" i="174"/>
  <c r="H7" i="174"/>
  <c r="H6" i="166"/>
  <c r="K6" i="166"/>
  <c r="M6" i="166"/>
  <c r="P6" i="166"/>
  <c r="O7" i="152"/>
  <c r="P7" i="152" s="1"/>
  <c r="M7" i="152"/>
  <c r="M6" i="151"/>
  <c r="H5" i="173"/>
  <c r="E5" i="173"/>
  <c r="A13" i="173"/>
  <c r="A12" i="173"/>
  <c r="A11" i="173"/>
  <c r="A10" i="173"/>
  <c r="A9" i="173"/>
  <c r="A8" i="173"/>
  <c r="A7" i="173"/>
  <c r="A6" i="173"/>
  <c r="A5" i="173"/>
  <c r="O6" i="166" l="1"/>
  <c r="G14" i="129"/>
  <c r="H14" i="129"/>
  <c r="H12" i="129"/>
  <c r="F15" i="129"/>
  <c r="E15" i="129"/>
  <c r="F14" i="129"/>
  <c r="E13" i="129"/>
  <c r="F13" i="129"/>
  <c r="G13" i="129"/>
  <c r="F12" i="129"/>
  <c r="G15" i="129"/>
  <c r="E12" i="129"/>
  <c r="H14" i="173"/>
  <c r="E19" i="7" s="1"/>
  <c r="K6" i="151" l="1"/>
  <c r="H6" i="151"/>
  <c r="E4" i="9"/>
  <c r="F21" i="132"/>
  <c r="F19" i="132"/>
  <c r="F18" i="132"/>
  <c r="F17" i="132"/>
  <c r="F16" i="132"/>
  <c r="F15" i="132"/>
  <c r="F14" i="132"/>
  <c r="F13" i="132"/>
  <c r="F12" i="132"/>
  <c r="F11" i="132"/>
  <c r="F10" i="132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D112" i="18"/>
  <c r="D110" i="18"/>
  <c r="C133" i="18"/>
  <c r="F86" i="18" l="1"/>
  <c r="F84" i="18"/>
  <c r="D82" i="18"/>
  <c r="G32" i="18" l="1"/>
  <c r="G24" i="18"/>
  <c r="F24" i="18"/>
  <c r="G31" i="18"/>
  <c r="G23" i="18"/>
  <c r="E18" i="18"/>
  <c r="E24" i="18" s="1"/>
  <c r="J11" i="7" s="1"/>
  <c r="D24" i="18"/>
  <c r="D32" i="18" l="1"/>
  <c r="J8" i="7"/>
  <c r="J21" i="7" s="1"/>
  <c r="D46" i="18"/>
  <c r="D54" i="18"/>
  <c r="J5" i="55"/>
  <c r="J6" i="55" s="1"/>
  <c r="H5" i="55"/>
  <c r="D70" i="18" l="1"/>
  <c r="D62" i="18"/>
  <c r="C7" i="9"/>
  <c r="C6" i="9"/>
  <c r="C9" i="9" s="1"/>
  <c r="C5" i="9"/>
  <c r="C8" i="9" s="1"/>
  <c r="C4" i="9"/>
  <c r="B8" i="31"/>
  <c r="B7" i="36" s="1"/>
  <c r="B7" i="31"/>
  <c r="B6" i="36" s="1"/>
  <c r="B6" i="31"/>
  <c r="B5" i="36" s="1"/>
  <c r="H74" i="18"/>
  <c r="A8" i="151"/>
  <c r="A9" i="151" s="1"/>
  <c r="A10" i="151" s="1"/>
  <c r="A11" i="151" s="1"/>
  <c r="A12" i="151" s="1"/>
  <c r="A13" i="151" s="1"/>
  <c r="A14" i="151" s="1"/>
  <c r="A15" i="151" s="1"/>
  <c r="A16" i="151" s="1"/>
  <c r="A17" i="151" s="1"/>
  <c r="A18" i="151" s="1"/>
  <c r="A19" i="151" s="1"/>
  <c r="A20" i="151" s="1"/>
  <c r="A21" i="151" s="1"/>
  <c r="A22" i="151" s="1"/>
  <c r="A23" i="151" s="1"/>
  <c r="A24" i="151" s="1"/>
  <c r="A25" i="151" s="1"/>
  <c r="A26" i="151" s="1"/>
  <c r="A27" i="151" s="1"/>
  <c r="A28" i="151" s="1"/>
  <c r="A29" i="151" s="1"/>
  <c r="A30" i="151" s="1"/>
  <c r="A31" i="151" s="1"/>
  <c r="A32" i="151" s="1"/>
  <c r="A33" i="151" s="1"/>
  <c r="A7" i="151"/>
  <c r="O6" i="151"/>
  <c r="P6" i="151" s="1"/>
  <c r="E9" i="9"/>
  <c r="E8" i="9"/>
  <c r="E7" i="9"/>
  <c r="E5" i="9"/>
  <c r="E6" i="9"/>
  <c r="I28" i="32"/>
  <c r="I27" i="32"/>
  <c r="I26" i="32"/>
  <c r="N6" i="32"/>
  <c r="N7" i="32"/>
  <c r="N8" i="32"/>
  <c r="H7" i="149"/>
  <c r="I7" i="172"/>
  <c r="H7" i="172"/>
  <c r="J7" i="172" s="1"/>
  <c r="H4" i="172"/>
  <c r="J4" i="172" s="1"/>
  <c r="I4" i="172"/>
  <c r="H5" i="172"/>
  <c r="I5" i="172"/>
  <c r="H3" i="172"/>
  <c r="J3" i="172" s="1"/>
  <c r="I3" i="172"/>
  <c r="J10" i="172"/>
  <c r="G26" i="32" s="1"/>
  <c r="H4" i="150"/>
  <c r="H5" i="150"/>
  <c r="H6" i="150"/>
  <c r="H7" i="150"/>
  <c r="H8" i="150"/>
  <c r="H9" i="150"/>
  <c r="H3" i="150"/>
  <c r="K15" i="97"/>
  <c r="H32" i="97"/>
  <c r="F36" i="97"/>
  <c r="F37" i="97"/>
  <c r="F51" i="97"/>
  <c r="F50" i="97"/>
  <c r="F43" i="97"/>
  <c r="F44" i="97"/>
  <c r="F35" i="97"/>
  <c r="H7" i="97"/>
  <c r="H8" i="97"/>
  <c r="F33" i="97"/>
  <c r="F34" i="97"/>
  <c r="F32" i="97"/>
  <c r="F23" i="97"/>
  <c r="F24" i="97"/>
  <c r="F25" i="97"/>
  <c r="H22" i="97"/>
  <c r="F22" i="97"/>
  <c r="F8" i="97"/>
  <c r="F7" i="97"/>
  <c r="C7" i="36"/>
  <c r="C6" i="36"/>
  <c r="C5" i="36"/>
  <c r="J16" i="171"/>
  <c r="J6" i="32" s="1"/>
  <c r="J14" i="171"/>
  <c r="K6" i="32" s="1"/>
  <c r="J7" i="171"/>
  <c r="J8" i="171"/>
  <c r="H8" i="171"/>
  <c r="H7" i="171"/>
  <c r="J6" i="171"/>
  <c r="G6" i="32" s="1"/>
  <c r="J4" i="171"/>
  <c r="C6" i="32" s="1"/>
  <c r="A1" i="171"/>
  <c r="H13" i="32"/>
  <c r="F16" i="32"/>
  <c r="F17" i="32"/>
  <c r="F18" i="32"/>
  <c r="F21" i="32"/>
  <c r="F20" i="32"/>
  <c r="F19" i="32"/>
  <c r="G14" i="31"/>
  <c r="F14" i="31"/>
  <c r="I14" i="31" s="1"/>
  <c r="I7" i="31"/>
  <c r="I6" i="31"/>
  <c r="J5" i="148"/>
  <c r="L5" i="148" s="1"/>
  <c r="M5" i="148" s="1"/>
  <c r="J6" i="148"/>
  <c r="L6" i="148" s="1"/>
  <c r="M6" i="148" s="1"/>
  <c r="J7" i="148"/>
  <c r="K7" i="148" s="1"/>
  <c r="J4" i="148"/>
  <c r="L4" i="148" s="1"/>
  <c r="M4" i="148" s="1"/>
  <c r="H5" i="95"/>
  <c r="J5" i="95"/>
  <c r="L5" i="95" s="1"/>
  <c r="M5" i="95" s="1"/>
  <c r="H6" i="95"/>
  <c r="J6" i="95" s="1"/>
  <c r="H7" i="95"/>
  <c r="J7" i="95" s="1"/>
  <c r="K7" i="95" s="1"/>
  <c r="H8" i="95"/>
  <c r="J8" i="95" s="1"/>
  <c r="L8" i="95" s="1"/>
  <c r="M8" i="95" s="1"/>
  <c r="J9" i="95"/>
  <c r="L9" i="95" s="1"/>
  <c r="M9" i="95" s="1"/>
  <c r="H4" i="95"/>
  <c r="J4" i="95" s="1"/>
  <c r="A5" i="95"/>
  <c r="A6" i="95" s="1"/>
  <c r="A7" i="95" s="1"/>
  <c r="A8" i="95" s="1"/>
  <c r="A9" i="95" s="1"/>
  <c r="H16" i="97"/>
  <c r="C1" i="162"/>
  <c r="H9" i="162"/>
  <c r="J9" i="162" s="1"/>
  <c r="L9" i="162" s="1"/>
  <c r="M9" i="162" s="1"/>
  <c r="J8" i="162"/>
  <c r="L8" i="162" s="1"/>
  <c r="M8" i="162" s="1"/>
  <c r="K7" i="162"/>
  <c r="J7" i="162"/>
  <c r="L7" i="162" s="1"/>
  <c r="M7" i="162" s="1"/>
  <c r="J6" i="162"/>
  <c r="L6" i="162" s="1"/>
  <c r="M6" i="162" s="1"/>
  <c r="J5" i="162"/>
  <c r="L5" i="162" s="1"/>
  <c r="M5" i="162" s="1"/>
  <c r="J4" i="162"/>
  <c r="L4" i="162" s="1"/>
  <c r="M4" i="162" s="1"/>
  <c r="K7" i="152"/>
  <c r="H7" i="152"/>
  <c r="I9" i="150"/>
  <c r="I8" i="150"/>
  <c r="I7" i="150"/>
  <c r="J7" i="150" s="1"/>
  <c r="I6" i="150"/>
  <c r="J6" i="150" s="1"/>
  <c r="I5" i="150"/>
  <c r="I4" i="150"/>
  <c r="I3" i="150"/>
  <c r="J3" i="150" s="1"/>
  <c r="J7" i="149"/>
  <c r="J8" i="149" s="1"/>
  <c r="F7" i="32" s="1"/>
  <c r="J4" i="149"/>
  <c r="C7" i="32" s="1"/>
  <c r="H3" i="149"/>
  <c r="H3" i="55"/>
  <c r="K49" i="97"/>
  <c r="H44" i="97"/>
  <c r="C1" i="148"/>
  <c r="J14" i="150"/>
  <c r="G27" i="32" s="1"/>
  <c r="J14" i="149"/>
  <c r="J7" i="32" s="1"/>
  <c r="J12" i="149"/>
  <c r="K7" i="32" s="1"/>
  <c r="J10" i="149"/>
  <c r="E7" i="32" s="1"/>
  <c r="J6" i="149"/>
  <c r="G7" i="32" s="1"/>
  <c r="J12" i="150"/>
  <c r="E27" i="32" s="1"/>
  <c r="I6" i="56"/>
  <c r="H6" i="56"/>
  <c r="F17" i="97"/>
  <c r="F16" i="97"/>
  <c r="C1" i="95"/>
  <c r="F30" i="132"/>
  <c r="F29" i="132"/>
  <c r="F26" i="132"/>
  <c r="F25" i="132"/>
  <c r="F24" i="132"/>
  <c r="F23" i="132"/>
  <c r="F22" i="132"/>
  <c r="F20" i="132"/>
  <c r="F7" i="132"/>
  <c r="F6" i="132"/>
  <c r="F5" i="132"/>
  <c r="H3" i="56"/>
  <c r="I3" i="56"/>
  <c r="H4" i="56"/>
  <c r="I4" i="56"/>
  <c r="H5" i="56"/>
  <c r="I5" i="56"/>
  <c r="H7" i="56"/>
  <c r="I7" i="56"/>
  <c r="H8" i="56"/>
  <c r="I8" i="56"/>
  <c r="H9" i="56"/>
  <c r="I9" i="56"/>
  <c r="H10" i="56"/>
  <c r="I10" i="56"/>
  <c r="H11" i="56"/>
  <c r="I11" i="56"/>
  <c r="J14" i="56"/>
  <c r="E28" i="32" s="1"/>
  <c r="J16" i="56"/>
  <c r="G28" i="32" s="1"/>
  <c r="H26" i="32" s="1"/>
  <c r="J4" i="55"/>
  <c r="C8" i="32" s="1"/>
  <c r="G8" i="32"/>
  <c r="H7" i="55"/>
  <c r="J7" i="55"/>
  <c r="J10" i="55"/>
  <c r="E8" i="32" s="1"/>
  <c r="J12" i="55"/>
  <c r="K8" i="32" s="1"/>
  <c r="J14" i="55"/>
  <c r="J8" i="32" s="1"/>
  <c r="F13" i="32"/>
  <c r="F14" i="32"/>
  <c r="F15" i="32"/>
  <c r="F5" i="122"/>
  <c r="J6" i="31" s="1"/>
  <c r="F7" i="122"/>
  <c r="J8" i="31" s="1"/>
  <c r="F11" i="122"/>
  <c r="F12" i="122"/>
  <c r="F13" i="122"/>
  <c r="F14" i="122"/>
  <c r="F15" i="122"/>
  <c r="F16" i="122"/>
  <c r="F17" i="122"/>
  <c r="F18" i="122"/>
  <c r="F19" i="122"/>
  <c r="F20" i="122"/>
  <c r="F21" i="122"/>
  <c r="B13" i="31"/>
  <c r="B5" i="122" s="1"/>
  <c r="B6" i="32" s="1"/>
  <c r="E6" i="31"/>
  <c r="F6" i="31"/>
  <c r="B15" i="31"/>
  <c r="E8" i="31"/>
  <c r="F8" i="31"/>
  <c r="I8" i="31"/>
  <c r="F13" i="31"/>
  <c r="I13" i="31" s="1"/>
  <c r="G13" i="31"/>
  <c r="F15" i="31"/>
  <c r="G15" i="31"/>
  <c r="I15" i="31" s="1"/>
  <c r="F11" i="9"/>
  <c r="G20" i="132" s="1"/>
  <c r="G6" i="7"/>
  <c r="G7" i="7"/>
  <c r="H36" i="7"/>
  <c r="G17" i="132" s="1"/>
  <c r="E3" i="18"/>
  <c r="F34" i="7" s="1"/>
  <c r="G16" i="132" s="1"/>
  <c r="G5" i="18"/>
  <c r="G7" i="18" s="1"/>
  <c r="D9" i="18"/>
  <c r="I9" i="18"/>
  <c r="G8" i="18" s="1"/>
  <c r="E12" i="18"/>
  <c r="E14" i="18"/>
  <c r="F14" i="18"/>
  <c r="G14" i="18"/>
  <c r="H14" i="18"/>
  <c r="I14" i="18"/>
  <c r="E16" i="18"/>
  <c r="F16" i="18"/>
  <c r="G16" i="18"/>
  <c r="H16" i="18"/>
  <c r="I16" i="18"/>
  <c r="E21" i="18"/>
  <c r="G11" i="7" s="1"/>
  <c r="E19" i="18"/>
  <c r="E11" i="7" s="1"/>
  <c r="F20" i="18"/>
  <c r="G22" i="18"/>
  <c r="D19" i="18"/>
  <c r="D41" i="18" s="1"/>
  <c r="D20" i="18"/>
  <c r="D28" i="18" s="1"/>
  <c r="E20" i="18"/>
  <c r="F11" i="7"/>
  <c r="D21" i="18"/>
  <c r="G8" i="7" s="1"/>
  <c r="G21" i="7" s="1"/>
  <c r="D29" i="18"/>
  <c r="D67" i="18" s="1"/>
  <c r="D116" i="18" s="1"/>
  <c r="D121" i="18" s="1"/>
  <c r="D126" i="18" s="1"/>
  <c r="D22" i="18"/>
  <c r="D52" i="18" s="1"/>
  <c r="E22" i="18"/>
  <c r="H11" i="7" s="1"/>
  <c r="D23" i="18"/>
  <c r="E23" i="18"/>
  <c r="I11" i="7" s="1"/>
  <c r="E26" i="18"/>
  <c r="F26" i="18"/>
  <c r="F31" i="18"/>
  <c r="G27" i="18"/>
  <c r="G30" i="18"/>
  <c r="E34" i="18"/>
  <c r="F34" i="18"/>
  <c r="G34" i="18"/>
  <c r="H34" i="18"/>
  <c r="I34" i="18"/>
  <c r="E36" i="18"/>
  <c r="F36" i="18"/>
  <c r="G36" i="18"/>
  <c r="H36" i="18"/>
  <c r="I36" i="18"/>
  <c r="E40" i="18"/>
  <c r="F40" i="18"/>
  <c r="G40" i="18"/>
  <c r="H40" i="18"/>
  <c r="I40" i="18"/>
  <c r="E48" i="18"/>
  <c r="F48" i="18"/>
  <c r="F52" i="18"/>
  <c r="G48" i="18"/>
  <c r="H48" i="18"/>
  <c r="I48" i="18"/>
  <c r="D49" i="18"/>
  <c r="E56" i="18"/>
  <c r="F56" i="18"/>
  <c r="F60" i="18"/>
  <c r="G56" i="18"/>
  <c r="H56" i="18"/>
  <c r="I56" i="18"/>
  <c r="E64" i="18"/>
  <c r="F64" i="18"/>
  <c r="G64" i="18"/>
  <c r="G67" i="18" s="1"/>
  <c r="H64" i="18"/>
  <c r="I64" i="18"/>
  <c r="E74" i="18"/>
  <c r="F74" i="18"/>
  <c r="G74" i="18"/>
  <c r="D78" i="18"/>
  <c r="E78" i="18"/>
  <c r="F78" i="18"/>
  <c r="G78" i="18"/>
  <c r="H78" i="18"/>
  <c r="I78" i="18"/>
  <c r="E92" i="18"/>
  <c r="E99" i="18"/>
  <c r="E113" i="18"/>
  <c r="H43" i="18"/>
  <c r="E8" i="7"/>
  <c r="E21" i="7" s="1"/>
  <c r="E53" i="18"/>
  <c r="F68" i="18"/>
  <c r="G65" i="18"/>
  <c r="E51" i="18"/>
  <c r="G28" i="18"/>
  <c r="F23" i="18"/>
  <c r="G29" i="18"/>
  <c r="F61" i="18"/>
  <c r="G49" i="18"/>
  <c r="D44" i="18"/>
  <c r="H58" i="18"/>
  <c r="D30" i="18"/>
  <c r="D60" i="18" s="1"/>
  <c r="L6" i="32"/>
  <c r="G19" i="32"/>
  <c r="F19" i="18"/>
  <c r="P21" i="9"/>
  <c r="P23" i="125"/>
  <c r="P18" i="124"/>
  <c r="P23" i="19"/>
  <c r="P23" i="61"/>
  <c r="Q22" i="36"/>
  <c r="P21" i="56"/>
  <c r="P23" i="18"/>
  <c r="H57" i="18" l="1"/>
  <c r="H62" i="18"/>
  <c r="G52" i="18"/>
  <c r="G54" i="18"/>
  <c r="E42" i="18"/>
  <c r="F23" i="7" s="1"/>
  <c r="E46" i="18"/>
  <c r="J23" i="7" s="1"/>
  <c r="K9" i="7"/>
  <c r="F51" i="18"/>
  <c r="F54" i="18"/>
  <c r="F19" i="7"/>
  <c r="G10" i="132" s="1"/>
  <c r="K9" i="162"/>
  <c r="K9" i="95"/>
  <c r="E58" i="18"/>
  <c r="F27" i="7" s="1"/>
  <c r="E62" i="18"/>
  <c r="I45" i="18"/>
  <c r="I46" i="18"/>
  <c r="H59" i="18"/>
  <c r="G50" i="18"/>
  <c r="F69" i="18"/>
  <c r="F70" i="18"/>
  <c r="G61" i="18"/>
  <c r="G62" i="18"/>
  <c r="D53" i="18"/>
  <c r="D45" i="18"/>
  <c r="H60" i="18"/>
  <c r="G51" i="18"/>
  <c r="E43" i="18"/>
  <c r="G23" i="7" s="1"/>
  <c r="I67" i="18"/>
  <c r="I70" i="18"/>
  <c r="E68" i="18"/>
  <c r="E70" i="18"/>
  <c r="I51" i="18"/>
  <c r="I54" i="18"/>
  <c r="G43" i="18"/>
  <c r="G46" i="18"/>
  <c r="I8" i="7"/>
  <c r="I21" i="7" s="1"/>
  <c r="E41" i="18"/>
  <c r="E23" i="7" s="1"/>
  <c r="E45" i="18"/>
  <c r="I23" i="7" s="1"/>
  <c r="H68" i="18"/>
  <c r="H70" i="18"/>
  <c r="I58" i="18"/>
  <c r="I62" i="18"/>
  <c r="F57" i="18"/>
  <c r="F62" i="18"/>
  <c r="H53" i="18"/>
  <c r="H54" i="18"/>
  <c r="E52" i="18"/>
  <c r="E54" i="18"/>
  <c r="F41" i="18"/>
  <c r="F46" i="18"/>
  <c r="J10" i="56"/>
  <c r="J6" i="56"/>
  <c r="F5" i="36"/>
  <c r="G33" i="132" s="1"/>
  <c r="Q6" i="151"/>
  <c r="R6" i="151" s="1"/>
  <c r="G66" i="18"/>
  <c r="G70" i="18"/>
  <c r="G5" i="7"/>
  <c r="G5" i="132" s="1"/>
  <c r="J5" i="150"/>
  <c r="E44" i="18"/>
  <c r="H23" i="7" s="1"/>
  <c r="H45" i="18"/>
  <c r="H46" i="18"/>
  <c r="H123" i="97"/>
  <c r="H108" i="97"/>
  <c r="H100" i="97"/>
  <c r="H131" i="97"/>
  <c r="H132" i="97" s="1"/>
  <c r="W6" i="129" s="1"/>
  <c r="W7" i="129" s="1"/>
  <c r="W9" i="129" s="1"/>
  <c r="H117" i="97"/>
  <c r="H107" i="97"/>
  <c r="H99" i="97"/>
  <c r="H116" i="97"/>
  <c r="H106" i="97"/>
  <c r="H124" i="97"/>
  <c r="H115" i="97"/>
  <c r="H105" i="97"/>
  <c r="K89" i="97"/>
  <c r="K58" i="97"/>
  <c r="H33" i="97"/>
  <c r="H60" i="97"/>
  <c r="H77" i="97"/>
  <c r="H67" i="97"/>
  <c r="H59" i="97"/>
  <c r="H75" i="97"/>
  <c r="H91" i="97"/>
  <c r="H92" i="97" s="1"/>
  <c r="P6" i="129" s="1"/>
  <c r="P7" i="129" s="1"/>
  <c r="P9" i="129" s="1"/>
  <c r="H68" i="97"/>
  <c r="H84" i="97"/>
  <c r="H76" i="97"/>
  <c r="H66" i="97"/>
  <c r="H83" i="97"/>
  <c r="H65" i="97"/>
  <c r="K13" i="31"/>
  <c r="G23" i="132" s="1"/>
  <c r="F30" i="18"/>
  <c r="F32" i="18"/>
  <c r="I60" i="18"/>
  <c r="D43" i="18"/>
  <c r="I57" i="18"/>
  <c r="F67" i="18"/>
  <c r="H8" i="7"/>
  <c r="H21" i="7" s="1"/>
  <c r="I52" i="18"/>
  <c r="E29" i="18"/>
  <c r="G14" i="7" s="1"/>
  <c r="E32" i="18"/>
  <c r="J14" i="7" s="1"/>
  <c r="F65" i="18"/>
  <c r="D51" i="18"/>
  <c r="F66" i="18"/>
  <c r="D31" i="18"/>
  <c r="D69" i="18" s="1"/>
  <c r="D118" i="18" s="1"/>
  <c r="D123" i="18" s="1"/>
  <c r="D128" i="18" s="1"/>
  <c r="G42" i="18"/>
  <c r="H44" i="18"/>
  <c r="G9" i="18"/>
  <c r="G6" i="31"/>
  <c r="I69" i="18"/>
  <c r="I66" i="18"/>
  <c r="I68" i="18"/>
  <c r="G58" i="18"/>
  <c r="F59" i="18"/>
  <c r="F49" i="18"/>
  <c r="I53" i="18"/>
  <c r="G53" i="18"/>
  <c r="E50" i="18"/>
  <c r="F53" i="18"/>
  <c r="G45" i="18"/>
  <c r="F43" i="18"/>
  <c r="I41" i="18"/>
  <c r="H41" i="18"/>
  <c r="G8" i="31"/>
  <c r="F29" i="18"/>
  <c r="F28" i="18"/>
  <c r="C5" i="132"/>
  <c r="G20" i="18"/>
  <c r="G19" i="18"/>
  <c r="G21" i="18"/>
  <c r="F22" i="122"/>
  <c r="K6" i="31" s="1"/>
  <c r="C10" i="132"/>
  <c r="G6" i="132"/>
  <c r="D66" i="18"/>
  <c r="D115" i="18" s="1"/>
  <c r="D120" i="18" s="1"/>
  <c r="D125" i="18" s="1"/>
  <c r="D58" i="18"/>
  <c r="B26" i="32"/>
  <c r="C1" i="171"/>
  <c r="B13" i="32"/>
  <c r="E27" i="18"/>
  <c r="E14" i="7" s="1"/>
  <c r="I43" i="18"/>
  <c r="G60" i="18"/>
  <c r="E49" i="18"/>
  <c r="E66" i="18"/>
  <c r="F21" i="18"/>
  <c r="E69" i="18"/>
  <c r="H65" i="18"/>
  <c r="H52" i="18"/>
  <c r="G57" i="18"/>
  <c r="I50" i="18"/>
  <c r="K5" i="162"/>
  <c r="B7" i="122"/>
  <c r="B8" i="32" s="1"/>
  <c r="H51" i="18"/>
  <c r="H17" i="97"/>
  <c r="H18" i="97" s="1"/>
  <c r="E6" i="129" s="1"/>
  <c r="E7" i="129" s="1"/>
  <c r="E9" i="129" s="1"/>
  <c r="G16" i="32"/>
  <c r="H25" i="97"/>
  <c r="H35" i="97"/>
  <c r="E65" i="18"/>
  <c r="F22" i="18"/>
  <c r="E67" i="18"/>
  <c r="I49" i="18"/>
  <c r="D59" i="18"/>
  <c r="D50" i="18"/>
  <c r="H50" i="18"/>
  <c r="D42" i="18"/>
  <c r="H24" i="97"/>
  <c r="H34" i="97"/>
  <c r="F42" i="18"/>
  <c r="I42" i="18"/>
  <c r="F45" i="18"/>
  <c r="H66" i="18"/>
  <c r="G59" i="18"/>
  <c r="H49" i="18"/>
  <c r="F50" i="18"/>
  <c r="H67" i="18"/>
  <c r="I59" i="18"/>
  <c r="I61" i="18"/>
  <c r="F8" i="7"/>
  <c r="F21" i="7" s="1"/>
  <c r="F27" i="18"/>
  <c r="K31" i="97"/>
  <c r="K21" i="97"/>
  <c r="B14" i="31"/>
  <c r="B6" i="122" s="1"/>
  <c r="B7" i="32" s="1"/>
  <c r="H51" i="97"/>
  <c r="H52" i="97" s="1"/>
  <c r="I6" i="129" s="1"/>
  <c r="I7" i="129" s="1"/>
  <c r="I9" i="129" s="1"/>
  <c r="J9" i="150"/>
  <c r="G13" i="32"/>
  <c r="K42" i="97"/>
  <c r="H9" i="97"/>
  <c r="J5" i="172"/>
  <c r="J6" i="172" s="1"/>
  <c r="C26" i="32" s="1"/>
  <c r="J8" i="172"/>
  <c r="E26" i="32" s="1"/>
  <c r="F26" i="32" s="1"/>
  <c r="L8" i="32"/>
  <c r="M6" i="32" s="1"/>
  <c r="J12" i="171"/>
  <c r="E6" i="32" s="1"/>
  <c r="J9" i="171"/>
  <c r="F6" i="32" s="1"/>
  <c r="K4" i="162"/>
  <c r="K6" i="162"/>
  <c r="K8" i="162"/>
  <c r="L6" i="95"/>
  <c r="M6" i="95" s="1"/>
  <c r="K6" i="95"/>
  <c r="L4" i="95"/>
  <c r="M4" i="95" s="1"/>
  <c r="K4" i="95"/>
  <c r="K8" i="95"/>
  <c r="L7" i="32"/>
  <c r="D68" i="18"/>
  <c r="D117" i="18" s="1"/>
  <c r="D122" i="18" s="1"/>
  <c r="D127" i="18" s="1"/>
  <c r="H61" i="18"/>
  <c r="G68" i="18"/>
  <c r="F44" i="18"/>
  <c r="F58" i="18"/>
  <c r="I65" i="18"/>
  <c r="H69" i="18"/>
  <c r="E59" i="18"/>
  <c r="G27" i="7" s="1"/>
  <c r="G44" i="18"/>
  <c r="E60" i="18"/>
  <c r="H27" i="7" s="1"/>
  <c r="E61" i="18"/>
  <c r="I27" i="7" s="1"/>
  <c r="G41" i="18"/>
  <c r="E57" i="18"/>
  <c r="E27" i="7" s="1"/>
  <c r="K26" i="7" s="1"/>
  <c r="I44" i="18"/>
  <c r="H42" i="18"/>
  <c r="E30" i="18"/>
  <c r="H14" i="7" s="1"/>
  <c r="E28" i="18"/>
  <c r="F14" i="7" s="1"/>
  <c r="J11" i="56"/>
  <c r="J9" i="56"/>
  <c r="J7" i="56"/>
  <c r="J4" i="56"/>
  <c r="H7" i="32"/>
  <c r="J8" i="55"/>
  <c r="F8" i="32" s="1"/>
  <c r="G69" i="18"/>
  <c r="E31" i="18"/>
  <c r="I14" i="7" s="1"/>
  <c r="D27" i="18"/>
  <c r="H8" i="32"/>
  <c r="J8" i="56"/>
  <c r="J5" i="56"/>
  <c r="J3" i="56"/>
  <c r="D6" i="32"/>
  <c r="J8" i="150"/>
  <c r="J4" i="150"/>
  <c r="K5" i="95"/>
  <c r="K4" i="148"/>
  <c r="K5" i="148"/>
  <c r="H23" i="97"/>
  <c r="H43" i="97"/>
  <c r="H45" i="97" s="1"/>
  <c r="H6" i="129" s="1"/>
  <c r="H7" i="129" s="1"/>
  <c r="H9" i="129" s="1"/>
  <c r="L7" i="148"/>
  <c r="M7" i="148" s="1"/>
  <c r="K6" i="148"/>
  <c r="L7" i="95"/>
  <c r="M7" i="95" s="1"/>
  <c r="K22" i="7" l="1"/>
  <c r="G11" i="132" s="1"/>
  <c r="K12" i="7"/>
  <c r="H78" i="97"/>
  <c r="N6" i="129" s="1"/>
  <c r="N7" i="129" s="1"/>
  <c r="N9" i="129" s="1"/>
  <c r="D61" i="18"/>
  <c r="Q7" i="174"/>
  <c r="R7" i="174" s="1"/>
  <c r="R8" i="174" s="1"/>
  <c r="R9" i="174" s="1"/>
  <c r="F24" i="7" s="1"/>
  <c r="Q6" i="163"/>
  <c r="R6" i="163" s="1"/>
  <c r="R7" i="163" s="1"/>
  <c r="R8" i="163" s="1"/>
  <c r="I28" i="7" s="1"/>
  <c r="Q6" i="167"/>
  <c r="R6" i="167" s="1"/>
  <c r="R7" i="167" s="1"/>
  <c r="R8" i="167" s="1"/>
  <c r="F28" i="7" s="1"/>
  <c r="Q6" i="157"/>
  <c r="R6" i="157" s="1"/>
  <c r="R7" i="157" s="1"/>
  <c r="R8" i="157" s="1"/>
  <c r="G28" i="7" s="1"/>
  <c r="Q6" i="166"/>
  <c r="R6" i="166" s="1"/>
  <c r="R7" i="166" s="1"/>
  <c r="R8" i="166" s="1"/>
  <c r="G24" i="7" s="1"/>
  <c r="Q6" i="168"/>
  <c r="R6" i="168" s="1"/>
  <c r="R7" i="168" s="1"/>
  <c r="R8" i="168" s="1"/>
  <c r="H28" i="7" s="1"/>
  <c r="Q6" i="156"/>
  <c r="R6" i="156" s="1"/>
  <c r="R7" i="156" s="1"/>
  <c r="R8" i="156" s="1"/>
  <c r="E28" i="7" s="1"/>
  <c r="E29" i="7" s="1"/>
  <c r="Q7" i="152"/>
  <c r="R7" i="152" s="1"/>
  <c r="R8" i="152" s="1"/>
  <c r="R9" i="152" s="1"/>
  <c r="E24" i="7" s="1"/>
  <c r="E25" i="7" s="1"/>
  <c r="Q6" i="165"/>
  <c r="R6" i="165" s="1"/>
  <c r="R7" i="165" s="1"/>
  <c r="R8" i="165" s="1"/>
  <c r="I24" i="7" s="1"/>
  <c r="Q6" i="170"/>
  <c r="R6" i="170" s="1"/>
  <c r="R7" i="170" s="1"/>
  <c r="R8" i="170" s="1"/>
  <c r="H24" i="7" s="1"/>
  <c r="H101" i="97"/>
  <c r="S6" i="129" s="1"/>
  <c r="S7" i="129" s="1"/>
  <c r="S9" i="129" s="1"/>
  <c r="K98" i="97"/>
  <c r="K129" i="97"/>
  <c r="H38" i="97"/>
  <c r="G6" i="129" s="1"/>
  <c r="G7" i="129" s="1"/>
  <c r="G9" i="129" s="1"/>
  <c r="H118" i="97"/>
  <c r="U6" i="129" s="1"/>
  <c r="U7" i="129" s="1"/>
  <c r="U9" i="129" s="1"/>
  <c r="H109" i="97"/>
  <c r="T6" i="129" s="1"/>
  <c r="T7" i="129" s="1"/>
  <c r="T9" i="129" s="1"/>
  <c r="H125" i="97"/>
  <c r="V6" i="129" s="1"/>
  <c r="V7" i="129" s="1"/>
  <c r="V9" i="129" s="1"/>
  <c r="H85" i="97"/>
  <c r="O6" i="129" s="1"/>
  <c r="O7" i="129" s="1"/>
  <c r="O9" i="129" s="1"/>
  <c r="H69" i="97"/>
  <c r="M6" i="129" s="1"/>
  <c r="M7" i="129" s="1"/>
  <c r="M9" i="129" s="1"/>
  <c r="H26" i="97"/>
  <c r="F6" i="129" s="1"/>
  <c r="F7" i="129" s="1"/>
  <c r="F9" i="129" s="1"/>
  <c r="K74" i="97"/>
  <c r="K82" i="97"/>
  <c r="K64" i="97"/>
  <c r="D6" i="129"/>
  <c r="D7" i="129" s="1"/>
  <c r="D9" i="129" s="1"/>
  <c r="G29" i="132" s="1"/>
  <c r="H61" i="97"/>
  <c r="L6" i="129" s="1"/>
  <c r="L7" i="129" s="1"/>
  <c r="L9" i="129" s="1"/>
  <c r="H25" i="7"/>
  <c r="L6" i="31"/>
  <c r="G22" i="132" s="1"/>
  <c r="J10" i="150"/>
  <c r="C27" i="32" s="1"/>
  <c r="C34" i="132"/>
  <c r="J12" i="56"/>
  <c r="C28" i="32" s="1"/>
  <c r="C1" i="149"/>
  <c r="B27" i="32"/>
  <c r="B16" i="32"/>
  <c r="I13" i="32"/>
  <c r="J13" i="32" s="1"/>
  <c r="G25" i="132" s="1"/>
  <c r="C1" i="55"/>
  <c r="B28" i="32"/>
  <c r="B19" i="32"/>
  <c r="H6" i="32"/>
  <c r="I6" i="32" s="1"/>
  <c r="O6" i="32" s="1"/>
  <c r="G24" i="132" s="1"/>
  <c r="M10" i="162"/>
  <c r="D6" i="9" s="1"/>
  <c r="M8" i="148"/>
  <c r="D5" i="9" s="1"/>
  <c r="M10" i="95"/>
  <c r="D4" i="9" s="1"/>
  <c r="R34" i="151"/>
  <c r="R35" i="151" s="1"/>
  <c r="E20" i="7" s="1"/>
  <c r="F20" i="7" s="1"/>
  <c r="G13" i="132" s="1"/>
  <c r="G7" i="132"/>
  <c r="G12" i="132"/>
  <c r="G25" i="7"/>
  <c r="F29" i="7"/>
  <c r="G29" i="7"/>
  <c r="I25" i="7"/>
  <c r="I29" i="7"/>
  <c r="K8" i="148"/>
  <c r="D8" i="9" s="1"/>
  <c r="F25" i="7"/>
  <c r="K10" i="162"/>
  <c r="D9" i="9" s="1"/>
  <c r="D65" i="18"/>
  <c r="D114" i="18" s="1"/>
  <c r="D119" i="18" s="1"/>
  <c r="D124" i="18" s="1"/>
  <c r="D57" i="18"/>
  <c r="H29" i="7"/>
  <c r="K10" i="95"/>
  <c r="D7" i="9" s="1"/>
  <c r="Y9" i="129" l="1"/>
  <c r="G32" i="132" s="1"/>
  <c r="D26" i="32"/>
  <c r="J26" i="32" s="1"/>
  <c r="G26" i="132" s="1"/>
  <c r="R9" i="129"/>
  <c r="G31" i="132" s="1"/>
  <c r="K9" i="129"/>
  <c r="G30" i="132" s="1"/>
  <c r="K122" i="97"/>
  <c r="K104" i="97"/>
  <c r="K114" i="97"/>
  <c r="K28" i="7"/>
  <c r="G15" i="132" s="1"/>
  <c r="K24" i="7"/>
  <c r="G14" i="132" s="1"/>
  <c r="F4" i="9"/>
  <c r="H4" i="9" s="1"/>
  <c r="F7" i="9"/>
  <c r="G7" i="9" l="1"/>
  <c r="H7" i="9" s="1"/>
  <c r="G19" i="132" s="1"/>
  <c r="G18" i="132"/>
  <c r="G34" i="132" l="1"/>
</calcChain>
</file>

<file path=xl/comments1.xml><?xml version="1.0" encoding="utf-8"?>
<comments xmlns="http://schemas.openxmlformats.org/spreadsheetml/2006/main">
  <authors>
    <author>Preferred Customer</author>
  </authors>
  <commentList>
    <comment ref="K5" authorId="0" shapeId="0">
      <text>
        <r>
          <rPr>
            <b/>
            <sz val="10"/>
            <color indexed="81"/>
            <rFont val="굴림"/>
            <family val="3"/>
            <charset val="129"/>
          </rPr>
          <t>입찰공고일입력</t>
        </r>
      </text>
    </comment>
  </commentList>
</comments>
</file>

<file path=xl/sharedStrings.xml><?xml version="1.0" encoding="utf-8"?>
<sst xmlns="http://schemas.openxmlformats.org/spreadsheetml/2006/main" count="1703" uniqueCount="818">
  <si>
    <t>주)</t>
    <phoneticPr fontId="23" type="noConversion"/>
  </si>
  <si>
    <t>※신고자의 실적에 해당하는 양식을  사용하여 작성합니다. 합계건수가 기술자 시트에 입력 되도록 확인합니다.</t>
    <phoneticPr fontId="23" type="noConversion"/>
  </si>
  <si>
    <t>참여기술자가 발주청 및 엔지니어 등 수행한 용역을 기초로 해당 양식을 사용하여 작성 합니다.</t>
    <phoneticPr fontId="23" type="noConversion"/>
  </si>
  <si>
    <t>발주청에서 직접 자체설계한 실적은 감독관리건수에 포함하여 작성합니다.</t>
    <phoneticPr fontId="23" type="noConversion"/>
  </si>
  <si>
    <t>과업참여기간이 30일 이상인 용역 참여건의 참여기간을 전체 계약기간 중 실제 참여기간에 대한 비율로 평가합니다.
다만, 최대용역기간은 24개월을 초과할 수 없도록 산식이 되어 있으며, 참여개월수 또한 24개월을 초과할 수 없습니다.
예를 들어 실제 용역기간이 48개월이고, 그 중에 24개월만 참여한 경우에는 비율 100% 적용을 받습니다.</t>
    <phoneticPr fontId="23" type="noConversion"/>
  </si>
  <si>
    <t>용역중지기간은 용역기간 및 참여기간에 포함시키지 않습니다.</t>
    <phoneticPr fontId="23" type="noConversion"/>
  </si>
  <si>
    <t>용역실적증명서(원본 또는 사본)를 첨부하고, 실적대조를 위하여 양식에 작성된 연번을 반드시 기재하시기 바라며, 연번 순서대로 제본하여야 합니다.</t>
    <phoneticPr fontId="23" type="noConversion"/>
  </si>
  <si>
    <t>용역실적증명서의 참여기술자 명단이 누락 되었거나, 참여기술자 명단에 해당 참여기술자가 누락된 경우에는 해당실적을 인정하지 않습니다.</t>
    <phoneticPr fontId="23" type="noConversion"/>
  </si>
  <si>
    <t xml:space="preserve">업체의 실적금액은 금번 시행하는 용역의 지침상 인정하는 범위에 해당하는 금액만을 실적으로 인정합니다. 
발주청에서 시행한 지구단위계획용역 또는 과업내용 중 지구단위계획이 포함된 용역으로서 
기본계획, 개발계획용역을 같이 수행한 경우에는 기본계획, 개발계획의 실적금액(설계관련 실적제외)을 모두 인정합니다. 
단, 과업포함여부 확인은 발주청에서 발급한 실적증명서 상 과업내용으로 명확하게 명시된 경우에 한하여 인정합니다. </t>
    <phoneticPr fontId="23" type="noConversion"/>
  </si>
  <si>
    <t>영향평가, 기본및 실시설계, 실시계획 등의 유사용역 외의 실적에 해당금액은 유사용역 제외금액에 입력합니다.</t>
    <phoneticPr fontId="23" type="noConversion"/>
  </si>
  <si>
    <r>
      <t>기입란은 행 삽입,삭제가 가능하며, 행삽입,삭제시 실적이 합계에서 누락되지 않도록 반드시 확인(기술자실적 시트) 주의해야 합니다</t>
    </r>
    <r>
      <rPr>
        <sz val="10"/>
        <rFont val="돋움"/>
        <family val="3"/>
        <charset val="129"/>
      </rPr>
      <t>.</t>
    </r>
    <phoneticPr fontId="23" type="noConversion"/>
  </si>
  <si>
    <t>토질지질 책임</t>
    <phoneticPr fontId="2" type="noConversion"/>
  </si>
  <si>
    <t>도로및공항 책임</t>
    <phoneticPr fontId="2" type="noConversion"/>
  </si>
  <si>
    <t>토목구조 책임</t>
    <phoneticPr fontId="2" type="noConversion"/>
  </si>
  <si>
    <t>상하수도 책임</t>
    <phoneticPr fontId="2" type="noConversion"/>
  </si>
  <si>
    <t>도시계획 참여</t>
    <phoneticPr fontId="2" type="noConversion"/>
  </si>
  <si>
    <t>토질지질 참여</t>
    <phoneticPr fontId="2" type="noConversion"/>
  </si>
  <si>
    <t>토목구조 참여</t>
    <phoneticPr fontId="2" type="noConversion"/>
  </si>
  <si>
    <t>도로공항 참여</t>
    <phoneticPr fontId="2" type="noConversion"/>
  </si>
  <si>
    <t xml:space="preserve">근거법:산업입지및개발에
 관한법률
면적:687,896㎡
위치:파주시교하읍문발리,
 산남리,신촌리,서패리일원
기본설계보완:68,871,000원
기본및실시설계:554,906,000원
토질조사:183,381,000원
조경기본계획:16,082,000원
교통영향평가:82,181,000원
재해영향평가:82,742,000원
현황측량:130,900,000원
배수펌프장기본및실시설계:
 584,320,000원
유량조정조기본및실시설계:
 31,410,720원
진입도로기본및실시설계:
 120,297,100원
개발계획및실시계획.인허가:
 83,725,180
</t>
    <phoneticPr fontId="63" type="noConversion"/>
  </si>
  <si>
    <t>평택오성 지방산업단지 조성사업 조사설계 용역</t>
  </si>
  <si>
    <t>참여분야</t>
    <phoneticPr fontId="2" type="noConversion"/>
  </si>
  <si>
    <t>부실벌점 내용</t>
    <phoneticPr fontId="2" type="noConversion"/>
  </si>
  <si>
    <t>2) 참여기술자 부실벌점</t>
    <phoneticPr fontId="2" type="noConversion"/>
  </si>
  <si>
    <t>성명</t>
    <phoneticPr fontId="2" type="noConversion"/>
  </si>
  <si>
    <t>번호</t>
    <phoneticPr fontId="23" type="noConversion"/>
  </si>
  <si>
    <t>참여용역명</t>
    <phoneticPr fontId="2" type="noConversion"/>
  </si>
  <si>
    <t>사업개요</t>
    <phoneticPr fontId="23" type="noConversion"/>
  </si>
  <si>
    <t>발주처</t>
    <phoneticPr fontId="23" type="noConversion"/>
  </si>
  <si>
    <t>용역기간</t>
    <phoneticPr fontId="23" type="noConversion"/>
  </si>
  <si>
    <t>비고</t>
    <phoneticPr fontId="23" type="noConversion"/>
  </si>
  <si>
    <t>소계</t>
    <phoneticPr fontId="23" type="noConversion"/>
  </si>
  <si>
    <t xml:space="preserve"> - 설계업체 근무실적 양식</t>
    <phoneticPr fontId="23" type="noConversion"/>
  </si>
  <si>
    <t>준공금액
(백만원)</t>
    <phoneticPr fontId="2" type="noConversion"/>
  </si>
  <si>
    <t>용역기간</t>
    <phoneticPr fontId="2" type="noConversion"/>
  </si>
  <si>
    <t>용역참여기간</t>
    <phoneticPr fontId="23" type="noConversion"/>
  </si>
  <si>
    <t>참여
 전문분야</t>
    <phoneticPr fontId="23" type="noConversion"/>
  </si>
  <si>
    <t>유사용역
제외금액
(백만원)</t>
    <phoneticPr fontId="23" type="noConversion"/>
  </si>
  <si>
    <t>유사용역
분야금액
(백만원)</t>
    <phoneticPr fontId="23" type="noConversion"/>
  </si>
  <si>
    <t>실적
적용
구간</t>
    <phoneticPr fontId="23" type="noConversion"/>
  </si>
  <si>
    <t>적용
건수</t>
    <phoneticPr fontId="23" type="noConversion"/>
  </si>
  <si>
    <t>용역
착수일</t>
    <phoneticPr fontId="23" type="noConversion"/>
  </si>
  <si>
    <t>용역
준공일</t>
    <phoneticPr fontId="23" type="noConversion"/>
  </si>
  <si>
    <t>용역기간
(일)</t>
    <phoneticPr fontId="23" type="noConversion"/>
  </si>
  <si>
    <t>참여
개시일</t>
    <phoneticPr fontId="23" type="noConversion"/>
  </si>
  <si>
    <t>참여
종료일</t>
    <phoneticPr fontId="23" type="noConversion"/>
  </si>
  <si>
    <t>참여기간
(일)</t>
    <phoneticPr fontId="23" type="noConversion"/>
  </si>
  <si>
    <t>총계</t>
    <phoneticPr fontId="23" type="noConversion"/>
  </si>
  <si>
    <t>주)</t>
    <phoneticPr fontId="23" type="noConversion"/>
  </si>
  <si>
    <t>※신고자의 실적에 해당하는 양식을  사용하여 작성합니다. 합계건수가 기술자 시트에 입력 되도록 확인합니다.</t>
    <phoneticPr fontId="23" type="noConversion"/>
  </si>
  <si>
    <t>용역실적증명서(원본 또는 사본)를 첨부하고, 실적대조를 위하여 양식에 작성된 연번을 반드시 기재하시기 바라며, 연번 순서대로 제본하여야 합니다.</t>
    <phoneticPr fontId="23" type="noConversion"/>
  </si>
  <si>
    <t>참여용역명</t>
    <phoneticPr fontId="2" type="noConversion"/>
  </si>
  <si>
    <t>사업개요</t>
    <phoneticPr fontId="23" type="noConversion"/>
  </si>
  <si>
    <t>발주처</t>
    <phoneticPr fontId="23" type="noConversion"/>
  </si>
  <si>
    <t>용역기간</t>
    <phoneticPr fontId="23" type="noConversion"/>
  </si>
  <si>
    <t>용역
계약일</t>
    <phoneticPr fontId="23" type="noConversion"/>
  </si>
  <si>
    <t>용역
준공일</t>
    <phoneticPr fontId="23" type="noConversion"/>
  </si>
  <si>
    <t>실적제외금액(백만원)</t>
    <phoneticPr fontId="23" type="noConversion"/>
  </si>
  <si>
    <t>참여기술자가 발주청 및 엔지니어 등 수행한 용역을 기초로 해당 양식을 사용하여 작성 합니다.</t>
    <phoneticPr fontId="23" type="noConversion"/>
  </si>
  <si>
    <t xml:space="preserve">    2.</t>
    <phoneticPr fontId="23" type="noConversion"/>
  </si>
  <si>
    <t>발주청에서 직접 자체설계한 실적은 감독관리건수에 포함하여 작성합니다.</t>
    <phoneticPr fontId="23" type="noConversion"/>
  </si>
  <si>
    <r>
      <t>기입란은 행 삽입,삭제가 가능하며, 행삽입,삭제시 실적이 합계에서 누락되지 않도록 반드시 확인(기술자실적 시트) 주의해야 합니다</t>
    </r>
    <r>
      <rPr>
        <sz val="10"/>
        <rFont val="돋움"/>
        <family val="3"/>
        <charset val="129"/>
      </rPr>
      <t>.</t>
    </r>
    <phoneticPr fontId="23" type="noConversion"/>
  </si>
  <si>
    <t>실적금액에 따른 건수인정기준은 공동도급비율 적용 전의 금액을 기준으로 산정하며, 건수산정 후 공동도급비율을 반영합니다.</t>
    <phoneticPr fontId="23" type="noConversion"/>
  </si>
  <si>
    <t>발주청이 발행한 실적증명서나 계약서 사본(원본대조필)으로 하되 참여기술자, 용역수행기간, 준공금액 및 공동도급업체수가 확인될 수 있어야 합니다.</t>
    <phoneticPr fontId="23" type="noConversion"/>
  </si>
  <si>
    <t>설계·시공일괄입찰 또는 대안입찰방식으로 참여하여 낙찰자 및 설계보상대상자로 지정된 경우에는 해당 발주기관이 발급한 증명서를 첨부하되 해당입찰의 낙찰금액이 확인될 수 있어야 합니다.</t>
    <phoneticPr fontId="23" type="noConversion"/>
  </si>
  <si>
    <t>기입란이 부족한 경우 행 삽입,삭제가 가능하며, 행삽입,삭제시 실적이 합계에서 누락되지 않도록 반드시 확인(유사용역 시트) 주의해야 합니다</t>
    <phoneticPr fontId="23" type="noConversion"/>
  </si>
  <si>
    <t>실적금액
(백만원)</t>
    <phoneticPr fontId="23" type="noConversion"/>
  </si>
  <si>
    <t>합계</t>
    <phoneticPr fontId="23" type="noConversion"/>
  </si>
  <si>
    <t xml:space="preserve"> 업무중첩도 (10점)</t>
    <phoneticPr fontId="2" type="noConversion"/>
  </si>
  <si>
    <t>참여용역</t>
    <phoneticPr fontId="2" type="noConversion"/>
  </si>
  <si>
    <t>용역중지일</t>
    <phoneticPr fontId="23" type="noConversion"/>
  </si>
  <si>
    <t>중지사유</t>
    <phoneticPr fontId="23" type="noConversion"/>
  </si>
  <si>
    <t>용역계약일</t>
    <phoneticPr fontId="23" type="noConversion"/>
  </si>
  <si>
    <t>용역준공일</t>
    <phoneticPr fontId="23" type="noConversion"/>
  </si>
  <si>
    <t>합    계</t>
    <phoneticPr fontId="23" type="noConversion"/>
  </si>
  <si>
    <t>계약금액
(백만원)</t>
    <phoneticPr fontId="23" type="noConversion"/>
  </si>
  <si>
    <t>적용금액
(백만원)</t>
    <phoneticPr fontId="23" type="noConversion"/>
  </si>
  <si>
    <t>주)</t>
    <phoneticPr fontId="2" type="noConversion"/>
  </si>
  <si>
    <t>개발실적</t>
    <phoneticPr fontId="23" type="noConversion"/>
  </si>
  <si>
    <t>재정상태건실도 평가는 유효기간내의 회사채,기업어음,기업신용 중 한가지만 입력하면 됩니다.</t>
    <phoneticPr fontId="23" type="noConversion"/>
  </si>
  <si>
    <t>업체명</t>
    <phoneticPr fontId="2" type="noConversion"/>
  </si>
  <si>
    <t>평가</t>
    <phoneticPr fontId="2" type="noConversion"/>
  </si>
  <si>
    <t>사업책임기술자</t>
    <phoneticPr fontId="2" type="noConversion"/>
  </si>
  <si>
    <t>부실벌점</t>
    <phoneticPr fontId="2" type="noConversion"/>
  </si>
  <si>
    <t>업체</t>
    <phoneticPr fontId="2" type="noConversion"/>
  </si>
  <si>
    <t>기술자</t>
    <phoneticPr fontId="2" type="noConversion"/>
  </si>
  <si>
    <t>세부항목</t>
    <phoneticPr fontId="2" type="noConversion"/>
  </si>
  <si>
    <t>점수</t>
    <phoneticPr fontId="2" type="noConversion"/>
  </si>
  <si>
    <t>비율</t>
    <phoneticPr fontId="2" type="noConversion"/>
  </si>
  <si>
    <t>기준</t>
    <phoneticPr fontId="2" type="noConversion"/>
  </si>
  <si>
    <t>투자실적</t>
    <phoneticPr fontId="2" type="noConversion"/>
  </si>
  <si>
    <t>구분</t>
    <phoneticPr fontId="2" type="noConversion"/>
  </si>
  <si>
    <t>총 계</t>
    <phoneticPr fontId="2" type="noConversion"/>
  </si>
  <si>
    <t>등급</t>
    <phoneticPr fontId="2" type="noConversion"/>
  </si>
  <si>
    <t>특급</t>
    <phoneticPr fontId="2" type="noConversion"/>
  </si>
  <si>
    <t>고급</t>
    <phoneticPr fontId="2" type="noConversion"/>
  </si>
  <si>
    <t>중급</t>
    <phoneticPr fontId="2" type="noConversion"/>
  </si>
  <si>
    <t>경력</t>
    <phoneticPr fontId="2" type="noConversion"/>
  </si>
  <si>
    <t>실적</t>
    <phoneticPr fontId="2" type="noConversion"/>
  </si>
  <si>
    <t>신용도</t>
    <phoneticPr fontId="2" type="noConversion"/>
  </si>
  <si>
    <t>실용신안</t>
    <phoneticPr fontId="2" type="noConversion"/>
  </si>
  <si>
    <t>지분율</t>
    <phoneticPr fontId="2" type="noConversion"/>
  </si>
  <si>
    <t>1순위</t>
    <phoneticPr fontId="2" type="noConversion"/>
  </si>
  <si>
    <t>2순위</t>
  </si>
  <si>
    <t>3순위</t>
  </si>
  <si>
    <t>4순위</t>
  </si>
  <si>
    <t>5순위</t>
  </si>
  <si>
    <t>1. 등급</t>
    <phoneticPr fontId="2" type="noConversion"/>
  </si>
  <si>
    <t>2. 경력</t>
    <phoneticPr fontId="2" type="noConversion"/>
  </si>
  <si>
    <t>최소점수 =0</t>
    <phoneticPr fontId="2" type="noConversion"/>
  </si>
  <si>
    <t>5년미만</t>
    <phoneticPr fontId="2" type="noConversion"/>
  </si>
  <si>
    <t>소계</t>
    <phoneticPr fontId="2" type="noConversion"/>
  </si>
  <si>
    <t>5~10년</t>
    <phoneticPr fontId="2" type="noConversion"/>
  </si>
  <si>
    <t>10~20년</t>
    <phoneticPr fontId="2" type="noConversion"/>
  </si>
  <si>
    <t>신기술</t>
    <phoneticPr fontId="2" type="noConversion"/>
  </si>
  <si>
    <t>건수</t>
    <phoneticPr fontId="2" type="noConversion"/>
  </si>
  <si>
    <t>2주이상</t>
    <phoneticPr fontId="2" type="noConversion"/>
  </si>
  <si>
    <t>감점</t>
    <phoneticPr fontId="2" type="noConversion"/>
  </si>
  <si>
    <t>분야별 책임기술자</t>
    <phoneticPr fontId="2" type="noConversion"/>
  </si>
  <si>
    <t>분야별 참여기술자</t>
    <phoneticPr fontId="2" type="noConversion"/>
  </si>
  <si>
    <t>입찰참가제한</t>
    <phoneticPr fontId="2" type="noConversion"/>
  </si>
  <si>
    <t>기술자격정지
또는 업무정지</t>
    <phoneticPr fontId="2" type="noConversion"/>
  </si>
  <si>
    <t>기술개발 및 투자실적</t>
    <phoneticPr fontId="2" type="noConversion"/>
  </si>
  <si>
    <t>개발실적</t>
    <phoneticPr fontId="2" type="noConversion"/>
  </si>
  <si>
    <t>특허</t>
    <phoneticPr fontId="2" type="noConversion"/>
  </si>
  <si>
    <t>기간</t>
    <phoneticPr fontId="2" type="noConversion"/>
  </si>
  <si>
    <t>업무중첩도</t>
    <phoneticPr fontId="2" type="noConversion"/>
  </si>
  <si>
    <t>가감점</t>
    <phoneticPr fontId="2" type="noConversion"/>
  </si>
  <si>
    <t>교육훈련</t>
    <phoneticPr fontId="2" type="noConversion"/>
  </si>
  <si>
    <t>최근3년간(백만원)</t>
    <phoneticPr fontId="2" type="noConversion"/>
  </si>
  <si>
    <t>□ 입찰참가제한 및 업무정지(7점)</t>
    <phoneticPr fontId="2" type="noConversion"/>
  </si>
  <si>
    <t>최우수</t>
    <phoneticPr fontId="2" type="noConversion"/>
  </si>
  <si>
    <t>미제출</t>
    <phoneticPr fontId="2" type="noConversion"/>
  </si>
  <si>
    <t>우수</t>
    <phoneticPr fontId="2" type="noConversion"/>
  </si>
  <si>
    <t>보통</t>
    <phoneticPr fontId="2" type="noConversion"/>
  </si>
  <si>
    <t>미흡</t>
    <phoneticPr fontId="2" type="noConversion"/>
  </si>
  <si>
    <t>불량</t>
    <phoneticPr fontId="2" type="noConversion"/>
  </si>
  <si>
    <t>투자금액</t>
    <phoneticPr fontId="2" type="noConversion"/>
  </si>
  <si>
    <t>건설매출</t>
    <phoneticPr fontId="2" type="noConversion"/>
  </si>
  <si>
    <t>특      허</t>
    <phoneticPr fontId="2" type="noConversion"/>
  </si>
  <si>
    <t>개월</t>
    <phoneticPr fontId="2" type="noConversion"/>
  </si>
  <si>
    <t>재정상태건실도</t>
    <phoneticPr fontId="2" type="noConversion"/>
  </si>
  <si>
    <t>C이하</t>
    <phoneticPr fontId="2" type="noConversion"/>
  </si>
  <si>
    <t>회사채</t>
    <phoneticPr fontId="2" type="noConversion"/>
  </si>
  <si>
    <t>기업어음</t>
    <phoneticPr fontId="2" type="noConversion"/>
  </si>
  <si>
    <t>기업신용</t>
    <phoneticPr fontId="2" type="noConversion"/>
  </si>
  <si>
    <t>AAA</t>
  </si>
  <si>
    <t>A1</t>
  </si>
  <si>
    <t>A2+</t>
  </si>
  <si>
    <t>A20</t>
  </si>
  <si>
    <t>A2-</t>
  </si>
  <si>
    <t>A+</t>
  </si>
  <si>
    <t>A3+</t>
  </si>
  <si>
    <t>A0</t>
  </si>
  <si>
    <t>A30</t>
  </si>
  <si>
    <t>A-</t>
  </si>
  <si>
    <t>A3-</t>
  </si>
  <si>
    <t>BBB+</t>
  </si>
  <si>
    <t>B+</t>
  </si>
  <si>
    <t>BBB0</t>
  </si>
  <si>
    <t>B0</t>
  </si>
  <si>
    <t>BBB-</t>
  </si>
  <si>
    <t>B-</t>
  </si>
  <si>
    <t>C 이하</t>
  </si>
  <si>
    <t>BB-</t>
  </si>
  <si>
    <t>CCC+ 이하</t>
  </si>
  <si>
    <t>AA+</t>
    <phoneticPr fontId="2" type="noConversion"/>
  </si>
  <si>
    <t>AA0</t>
    <phoneticPr fontId="2" type="noConversion"/>
  </si>
  <si>
    <t>AA-</t>
    <phoneticPr fontId="2" type="noConversion"/>
  </si>
  <si>
    <t>BB+</t>
    <phoneticPr fontId="2" type="noConversion"/>
  </si>
  <si>
    <t>BB0</t>
    <phoneticPr fontId="2" type="noConversion"/>
  </si>
  <si>
    <t>B+</t>
    <phoneticPr fontId="2" type="noConversion"/>
  </si>
  <si>
    <t>B0</t>
    <phoneticPr fontId="2" type="noConversion"/>
  </si>
  <si>
    <t>B-</t>
    <phoneticPr fontId="2" type="noConversion"/>
  </si>
  <si>
    <t>건수</t>
  </si>
  <si>
    <t>가중치</t>
    <phoneticPr fontId="2" type="noConversion"/>
  </si>
  <si>
    <t xml:space="preserve">  * 활용실적에 따른 가중치는 활용건수, 활용금액 중 하나의 조건을 만족하면 인정</t>
    <phoneticPr fontId="2" type="noConversion"/>
  </si>
  <si>
    <t>3.실적</t>
    <phoneticPr fontId="2" type="noConversion"/>
  </si>
  <si>
    <t>유사용역(회사)</t>
    <phoneticPr fontId="2" type="noConversion"/>
  </si>
  <si>
    <t>A3+미만B-이상</t>
    <phoneticPr fontId="2" type="noConversion"/>
  </si>
  <si>
    <t>정지기간(일)</t>
    <phoneticPr fontId="2" type="noConversion"/>
  </si>
  <si>
    <t>비율평균</t>
    <phoneticPr fontId="2" type="noConversion"/>
  </si>
  <si>
    <t>적용</t>
    <phoneticPr fontId="2" type="noConversion"/>
  </si>
  <si>
    <t>항목</t>
    <phoneticPr fontId="2" type="noConversion"/>
  </si>
  <si>
    <t>비고</t>
    <phoneticPr fontId="2" type="noConversion"/>
  </si>
  <si>
    <t>항      목</t>
    <phoneticPr fontId="2" type="noConversion"/>
  </si>
  <si>
    <t>분야1</t>
    <phoneticPr fontId="2" type="noConversion"/>
  </si>
  <si>
    <t>분야2</t>
    <phoneticPr fontId="2" type="noConversion"/>
  </si>
  <si>
    <t>분야3</t>
    <phoneticPr fontId="2" type="noConversion"/>
  </si>
  <si>
    <t>분야4</t>
    <phoneticPr fontId="2" type="noConversion"/>
  </si>
  <si>
    <t>분야5</t>
    <phoneticPr fontId="2" type="noConversion"/>
  </si>
  <si>
    <t>1. 건수</t>
    <phoneticPr fontId="2" type="noConversion"/>
  </si>
  <si>
    <t>2. 금액</t>
    <phoneticPr fontId="2" type="noConversion"/>
  </si>
  <si>
    <t>CCC+ 이하</t>
    <phoneticPr fontId="2" type="noConversion"/>
  </si>
  <si>
    <t>활용실적</t>
    <phoneticPr fontId="2" type="noConversion"/>
  </si>
  <si>
    <t>활용건수(건)</t>
    <phoneticPr fontId="2" type="noConversion"/>
  </si>
  <si>
    <t>활용금액(억원)</t>
    <phoneticPr fontId="2" type="noConversion"/>
  </si>
  <si>
    <t>1주이상</t>
    <phoneticPr fontId="2" type="noConversion"/>
  </si>
  <si>
    <t>□ 재정상태 건실도- 신용평가등급(3점)</t>
    <phoneticPr fontId="2" type="noConversion"/>
  </si>
  <si>
    <t>업체별</t>
    <phoneticPr fontId="2" type="noConversion"/>
  </si>
  <si>
    <t>□ 개발실적(2점)</t>
    <phoneticPr fontId="2" type="noConversion"/>
  </si>
  <si>
    <t>□ 활용실적(3점)</t>
    <phoneticPr fontId="2" type="noConversion"/>
  </si>
  <si>
    <t>배점</t>
    <phoneticPr fontId="2" type="noConversion"/>
  </si>
  <si>
    <t>1. 기술자 평가</t>
    <phoneticPr fontId="2" type="noConversion"/>
  </si>
  <si>
    <t>2. 유사용역 수행실적(15점)</t>
    <phoneticPr fontId="2" type="noConversion"/>
  </si>
  <si>
    <t>번호</t>
    <phoneticPr fontId="23" type="noConversion"/>
  </si>
  <si>
    <t>비고</t>
    <phoneticPr fontId="23" type="noConversion"/>
  </si>
  <si>
    <t>종류</t>
  </si>
  <si>
    <t>번호</t>
  </si>
  <si>
    <t>기술명</t>
  </si>
  <si>
    <t>경과기간</t>
  </si>
  <si>
    <t>유효기간</t>
  </si>
  <si>
    <t>최초출원인</t>
    <phoneticPr fontId="23" type="noConversion"/>
  </si>
  <si>
    <t>출원
인수</t>
    <phoneticPr fontId="23" type="noConversion"/>
  </si>
  <si>
    <t>신기술 소계</t>
    <phoneticPr fontId="23" type="noConversion"/>
  </si>
  <si>
    <t>지정(출원)일</t>
    <phoneticPr fontId="23" type="noConversion"/>
  </si>
  <si>
    <t>실용신안</t>
    <phoneticPr fontId="23" type="noConversion"/>
  </si>
  <si>
    <t xml:space="preserve"> 특허 20년미만 소계</t>
    <phoneticPr fontId="23" type="noConversion"/>
  </si>
  <si>
    <t>특허 10년미만 소계</t>
    <phoneticPr fontId="23" type="noConversion"/>
  </si>
  <si>
    <t>금액
가중치</t>
    <phoneticPr fontId="23" type="noConversion"/>
  </si>
  <si>
    <t>건수
가중치</t>
    <phoneticPr fontId="23" type="noConversion"/>
  </si>
  <si>
    <t>실적
건수</t>
    <phoneticPr fontId="23" type="noConversion"/>
  </si>
  <si>
    <t>번호</t>
    <phoneticPr fontId="23" type="noConversion"/>
  </si>
  <si>
    <t>비고</t>
    <phoneticPr fontId="23" type="noConversion"/>
  </si>
  <si>
    <t>3. 신용도(10점)</t>
    <phoneticPr fontId="2" type="noConversion"/>
  </si>
  <si>
    <t>4. 기술개발 및 투자실적(15점)</t>
    <phoneticPr fontId="2" type="noConversion"/>
  </si>
  <si>
    <t>6. 가감점</t>
    <phoneticPr fontId="2" type="noConversion"/>
  </si>
  <si>
    <t>PQ 평가표 작성 요령</t>
    <phoneticPr fontId="2" type="noConversion"/>
  </si>
  <si>
    <t>주) 1.</t>
    <phoneticPr fontId="23" type="noConversion"/>
  </si>
  <si>
    <t>회사채</t>
    <phoneticPr fontId="2" type="noConversion"/>
  </si>
  <si>
    <t xml:space="preserve">            란을 직접입력합니다. </t>
    <phoneticPr fontId="23" type="noConversion"/>
  </si>
  <si>
    <t xml:space="preserve">     2.</t>
    <phoneticPr fontId="2" type="noConversion"/>
  </si>
  <si>
    <t>기술개요</t>
    <phoneticPr fontId="23" type="noConversion"/>
  </si>
  <si>
    <t xml:space="preserve">     3.</t>
  </si>
  <si>
    <t xml:space="preserve"> 회사채(또는 기업어음)에 대한 신용평가등급 및 기업신용평가에 따른 평점이 다른 경우에는 높은 평점으로 평가하며, 등급확인서를 제출하지 않은 경우에는 0점으로 평가합니다.</t>
    <phoneticPr fontId="2" type="noConversion"/>
  </si>
  <si>
    <t xml:space="preserve"> 2.</t>
    <phoneticPr fontId="23" type="noConversion"/>
  </si>
  <si>
    <t>     </t>
    <phoneticPr fontId="2" type="noConversion"/>
  </si>
  <si>
    <t>증빙서류는 공인회계사 또는 세무사가 증명한 최근 3회계년 투자실적입니다.</t>
    <phoneticPr fontId="23" type="noConversion"/>
  </si>
  <si>
    <t>(단, 투자실적에서 R&amp;D사업 참여실적에 적용된 실적금액은 제외)</t>
    <phoneticPr fontId="23" type="noConversion"/>
  </si>
  <si>
    <t>주) 1.</t>
    <phoneticPr fontId="23" type="noConversion"/>
  </si>
  <si>
    <t>전차용역명</t>
  </si>
  <si>
    <t>계약금액</t>
  </si>
  <si>
    <t>성명</t>
  </si>
  <si>
    <t xml:space="preserve">해당 전차용역 현황을 기재하시기 바랍니다. </t>
    <phoneticPr fontId="23" type="noConversion"/>
  </si>
  <si>
    <t xml:space="preserve">전차용역수행 현황 </t>
    <phoneticPr fontId="2" type="noConversion"/>
  </si>
  <si>
    <t>1. 점수입력시              색으로 표시된 부분에 입력하도록 하고, 산식으로 계산된 부분은 입력하지 않습니다.</t>
    <phoneticPr fontId="2" type="noConversion"/>
  </si>
  <si>
    <t>년도별</t>
    <phoneticPr fontId="2" type="noConversion"/>
  </si>
  <si>
    <t>주) 1.</t>
    <phoneticPr fontId="23" type="noConversion"/>
  </si>
  <si>
    <t>사업책임기술자, 분야별책임기술자별로 작성합니다.</t>
    <phoneticPr fontId="23" type="noConversion"/>
  </si>
  <si>
    <t>용역계약서사본, 참여기술자명단 등 현재 수행중인 용역현황을 파악할 수 있는 증빙서류를 첨부합니다.</t>
    <phoneticPr fontId="23" type="noConversion"/>
  </si>
  <si>
    <t>기입란이 부족한 경우 행 삽입,삭제가 가능하며, 행삽입,삭제시 실적이 합계에서 누락되지 않도록 반드시 확인(중첩도 시트) 주의해야 합니다</t>
    <phoneticPr fontId="23" type="noConversion"/>
  </si>
  <si>
    <t>종류</t>
    <phoneticPr fontId="23" type="noConversion"/>
  </si>
  <si>
    <t>기술명</t>
    <phoneticPr fontId="2" type="noConversion"/>
  </si>
  <si>
    <t>경과기간
가중치</t>
    <phoneticPr fontId="23" type="noConversion"/>
  </si>
  <si>
    <t>실적
금액
(백만원)</t>
    <phoneticPr fontId="23" type="noConversion"/>
  </si>
  <si>
    <t>점수</t>
    <phoneticPr fontId="23" type="noConversion"/>
  </si>
  <si>
    <t>신기술</t>
    <phoneticPr fontId="23" type="noConversion"/>
  </si>
  <si>
    <t>특허</t>
    <phoneticPr fontId="23" type="noConversion"/>
  </si>
  <si>
    <t>특허 소계</t>
    <phoneticPr fontId="23" type="noConversion"/>
  </si>
  <si>
    <t>실용신안 소계</t>
    <phoneticPr fontId="23" type="noConversion"/>
  </si>
  <si>
    <t>건설신기술</t>
    <phoneticPr fontId="23" type="noConversion"/>
  </si>
  <si>
    <t>특허 5년미만 소계</t>
    <phoneticPr fontId="23" type="noConversion"/>
  </si>
  <si>
    <t>실용신안 10년미만 소계</t>
    <phoneticPr fontId="23" type="noConversion"/>
  </si>
  <si>
    <t>실용신안 5년미만 소계</t>
    <phoneticPr fontId="23" type="noConversion"/>
  </si>
  <si>
    <t>입찰공고일 :</t>
    <phoneticPr fontId="23" type="noConversion"/>
  </si>
  <si>
    <t>주) 1.</t>
    <phoneticPr fontId="23" type="noConversion"/>
  </si>
  <si>
    <t>증빙서류 좌측에 연번을 반드시 기재후 연번순서대로 제본하여야 합니다.</t>
    <phoneticPr fontId="23" type="noConversion"/>
  </si>
  <si>
    <t xml:space="preserve"> 2.</t>
    <phoneticPr fontId="23" type="noConversion"/>
  </si>
  <si>
    <t>경과기간은 출원일로부터 경과기간을 기재해야 하며, 2인이상 출원시 출원인수로 나누어 산정한 건수로 산정되어집니다.</t>
    <phoneticPr fontId="23" type="noConversion"/>
  </si>
  <si>
    <t xml:space="preserve"> 3.</t>
    <phoneticPr fontId="23" type="noConversion"/>
  </si>
  <si>
    <t>증빙서류는 최근 1월 이내에 관할기관에서 발행한 등본이어야 합니다.</t>
    <phoneticPr fontId="23" type="noConversion"/>
  </si>
  <si>
    <t>준공
금액
(백만원)</t>
    <phoneticPr fontId="2" type="noConversion"/>
  </si>
  <si>
    <t>사업책임
기술자</t>
    <phoneticPr fontId="2" type="noConversion"/>
  </si>
  <si>
    <t>지정
번호</t>
    <phoneticPr fontId="23" type="noConversion"/>
  </si>
  <si>
    <t>배점기준</t>
    <phoneticPr fontId="2" type="noConversion"/>
  </si>
  <si>
    <t>계</t>
  </si>
  <si>
    <t>해당분야</t>
    <phoneticPr fontId="2" type="noConversion"/>
  </si>
  <si>
    <t>중복건수</t>
    <phoneticPr fontId="2" type="noConversion"/>
  </si>
  <si>
    <t>평가대상 인원수</t>
    <phoneticPr fontId="2" type="noConversion"/>
  </si>
  <si>
    <t>사업수행능력평가 참가업체</t>
    <phoneticPr fontId="2" type="noConversion"/>
  </si>
  <si>
    <t>과업참여기간이 30일 이상인 용역 참여건의 참여기간을 전체 계약기간 중 실제 참여기간에 대한 비율로 평가합니다.
다만, 최대용역기간은 24개월을 초과할 수 없도록 산식이 되어 있으며, 참여개월수 또한 24개월을 초과할 수 없습니다.
예를 들어 실제 용역기간이 48개월이고, 그 중에 24개월만 참여한 경우에는 비율 100% 적용을 받습니다.</t>
    <phoneticPr fontId="23" type="noConversion"/>
  </si>
  <si>
    <t>용역실적증명서의 참여기술자 명단이 누락 되었거나, 참여기술자 명단에 해당 참여기술자가 누락된 경우에는 해당실적을 인정하지 않습니다.</t>
    <phoneticPr fontId="23" type="noConversion"/>
  </si>
  <si>
    <t>실적건수
(건)</t>
    <phoneticPr fontId="2" type="noConversion"/>
  </si>
  <si>
    <t>실적금액
(억원)</t>
    <phoneticPr fontId="2" type="noConversion"/>
  </si>
  <si>
    <t>계약기간
(일)</t>
    <phoneticPr fontId="23" type="noConversion"/>
  </si>
  <si>
    <t>잔여기간
(일)</t>
    <phoneticPr fontId="23" type="noConversion"/>
  </si>
  <si>
    <t>용역중지기간은 용역기간 및 참여기간에 포함시키지 않습니다.</t>
    <phoneticPr fontId="23" type="noConversion"/>
  </si>
  <si>
    <t>현재 중지중인 용역에 대하여도 모두 기재하시기 바라며, 중복금액합계나 중복적용건수에는 반영하지 않습니다. 
이경우에 해당시 중지일 및 중지사유 기재. 공사발주완료된 경우는 확인할수 있는 근거서류를 제시한경우만 인정합니다.</t>
    <phoneticPr fontId="23" type="noConversion"/>
  </si>
  <si>
    <t xml:space="preserve">공고일기준 잔여과업기간이 3개월이상인 용역에 대하여 작성합니다. </t>
    <phoneticPr fontId="23" type="noConversion"/>
  </si>
  <si>
    <t xml:space="preserve">   2.</t>
    <phoneticPr fontId="23" type="noConversion"/>
  </si>
  <si>
    <t xml:space="preserve">   3.</t>
    <phoneticPr fontId="23" type="noConversion"/>
  </si>
  <si>
    <t xml:space="preserve">   4.</t>
    <phoneticPr fontId="23" type="noConversion"/>
  </si>
  <si>
    <t>면적가중치적용</t>
    <phoneticPr fontId="2" type="noConversion"/>
  </si>
  <si>
    <t>기준면적</t>
    <phoneticPr fontId="2" type="noConversion"/>
  </si>
  <si>
    <t>발주면적</t>
    <phoneticPr fontId="2" type="noConversion"/>
  </si>
  <si>
    <t>면적가중치</t>
    <phoneticPr fontId="2" type="noConversion"/>
  </si>
  <si>
    <t>발주금액</t>
    <phoneticPr fontId="2" type="noConversion"/>
  </si>
  <si>
    <t>면적기준</t>
    <phoneticPr fontId="2" type="noConversion"/>
  </si>
  <si>
    <t>보정계수</t>
    <phoneticPr fontId="2" type="noConversion"/>
  </si>
  <si>
    <t>직선보간법적용</t>
    <phoneticPr fontId="2" type="noConversion"/>
  </si>
  <si>
    <t>소계</t>
    <phoneticPr fontId="2" type="noConversion"/>
  </si>
  <si>
    <t>3년이내</t>
    <phoneticPr fontId="2" type="noConversion"/>
  </si>
  <si>
    <t>5년이내</t>
    <phoneticPr fontId="2" type="noConversion"/>
  </si>
  <si>
    <t>참여도</t>
    <phoneticPr fontId="2" type="noConversion"/>
  </si>
  <si>
    <t>분야별책임기술자</t>
    <phoneticPr fontId="2" type="noConversion"/>
  </si>
  <si>
    <t>건별산정기준</t>
    <phoneticPr fontId="2" type="noConversion"/>
  </si>
  <si>
    <t>기술자</t>
    <phoneticPr fontId="2" type="noConversion"/>
  </si>
  <si>
    <t>보정계수적용금액</t>
    <phoneticPr fontId="2" type="noConversion"/>
  </si>
  <si>
    <t>부실벌점 현황</t>
    <phoneticPr fontId="2" type="noConversion"/>
  </si>
  <si>
    <t>1) 참여업체 부실벌점</t>
    <phoneticPr fontId="2" type="noConversion"/>
  </si>
  <si>
    <t>공동도급인 경우에는 업체명과 각 해당 지분율을 입력합니다.</t>
    <phoneticPr fontId="2" type="noConversion"/>
  </si>
  <si>
    <t>항     목</t>
    <phoneticPr fontId="2" type="noConversion"/>
  </si>
  <si>
    <t>산   식</t>
    <phoneticPr fontId="2" type="noConversion"/>
  </si>
  <si>
    <t>분야별책임기술자</t>
    <phoneticPr fontId="2" type="noConversion"/>
  </si>
  <si>
    <t>사업책임</t>
    <phoneticPr fontId="2" type="noConversion"/>
  </si>
  <si>
    <t>참여기술자 
전문분야 별 비율</t>
    <phoneticPr fontId="2" type="noConversion"/>
  </si>
  <si>
    <t>주)1.</t>
    <phoneticPr fontId="23" type="noConversion"/>
  </si>
  <si>
    <t>위 양식은 단지조성공사 설계용역에 해당하며, 2억원 실적기준이 적용되지 않는 용역의 경우에는 양식을 수정하여 작성바랍니다. 단, 최종 점수 셀은 유지해야 점수가 합산되오니 주의 바랍니다.</t>
    <phoneticPr fontId="23" type="noConversion"/>
  </si>
  <si>
    <t>사업책임
OR
분야별책임</t>
    <phoneticPr fontId="2" type="noConversion"/>
  </si>
  <si>
    <t xml:space="preserve">   5.</t>
    <phoneticPr fontId="23" type="noConversion"/>
  </si>
  <si>
    <t>참여기술자</t>
    <phoneticPr fontId="2" type="noConversion"/>
  </si>
  <si>
    <t>3. 전차용역</t>
    <phoneticPr fontId="2" type="noConversion"/>
  </si>
  <si>
    <t>우수(하위)업체</t>
    <phoneticPr fontId="2" type="noConversion"/>
  </si>
  <si>
    <t>우수업체</t>
    <phoneticPr fontId="2" type="noConversion"/>
  </si>
  <si>
    <t>하위업체</t>
    <phoneticPr fontId="2" type="noConversion"/>
  </si>
  <si>
    <t>+1</t>
    <phoneticPr fontId="2" type="noConversion"/>
  </si>
  <si>
    <t>○ 교육훈련 및 전차용역(2점)</t>
    <phoneticPr fontId="2" type="noConversion"/>
  </si>
  <si>
    <t>구 분</t>
    <phoneticPr fontId="2" type="noConversion"/>
  </si>
  <si>
    <t>항목</t>
    <phoneticPr fontId="2" type="noConversion"/>
  </si>
  <si>
    <t>등급</t>
    <phoneticPr fontId="2" type="noConversion"/>
  </si>
  <si>
    <t>이적계수</t>
    <phoneticPr fontId="2" type="noConversion"/>
  </si>
  <si>
    <t>평가</t>
    <phoneticPr fontId="2" type="noConversion"/>
  </si>
  <si>
    <t>사업책임기술자</t>
    <phoneticPr fontId="2" type="noConversion"/>
  </si>
  <si>
    <t>특급</t>
    <phoneticPr fontId="2" type="noConversion"/>
  </si>
  <si>
    <t>기술능력</t>
    <phoneticPr fontId="2" type="noConversion"/>
  </si>
  <si>
    <t>업무관리</t>
    <phoneticPr fontId="2" type="noConversion"/>
  </si>
  <si>
    <t>분야별 책임기술자</t>
    <phoneticPr fontId="2" type="noConversion"/>
  </si>
  <si>
    <t>점수</t>
    <phoneticPr fontId="2" type="noConversion"/>
  </si>
  <si>
    <t>분야별 참여기술자</t>
    <phoneticPr fontId="2" type="noConversion"/>
  </si>
  <si>
    <t>능력</t>
    <phoneticPr fontId="2" type="noConversion"/>
  </si>
  <si>
    <t>경력</t>
    <phoneticPr fontId="2" type="noConversion"/>
  </si>
  <si>
    <t>실적</t>
    <phoneticPr fontId="2" type="noConversion"/>
  </si>
  <si>
    <t>교육훈련(1점)</t>
    <phoneticPr fontId="2" type="noConversion"/>
  </si>
  <si>
    <t>2주이상</t>
    <phoneticPr fontId="2" type="noConversion"/>
  </si>
  <si>
    <t>1주이상</t>
    <phoneticPr fontId="2" type="noConversion"/>
  </si>
  <si>
    <t>전차용역 (1점)</t>
    <phoneticPr fontId="2" type="noConversion"/>
  </si>
  <si>
    <t>전차용역범위</t>
    <phoneticPr fontId="2" type="noConversion"/>
  </si>
  <si>
    <t>시간경과</t>
    <phoneticPr fontId="2" type="noConversion"/>
  </si>
  <si>
    <t>참여도</t>
    <phoneticPr fontId="2" type="noConversion"/>
  </si>
  <si>
    <t>참여기술자 교육실적</t>
    <phoneticPr fontId="2" type="noConversion"/>
  </si>
  <si>
    <t>참여분야</t>
    <phoneticPr fontId="2" type="noConversion"/>
  </si>
  <si>
    <t>성     명</t>
    <phoneticPr fontId="2" type="noConversion"/>
  </si>
  <si>
    <t>교육과정명</t>
    <phoneticPr fontId="2" type="noConversion"/>
  </si>
  <si>
    <t>교육기간</t>
    <phoneticPr fontId="2" type="noConversion"/>
  </si>
  <si>
    <t>교육기관</t>
    <phoneticPr fontId="2" type="noConversion"/>
  </si>
  <si>
    <t>평점</t>
    <phoneticPr fontId="2" type="noConversion"/>
  </si>
  <si>
    <t>용역참여기술자 참여율</t>
    <phoneticPr fontId="2" type="noConversion"/>
  </si>
  <si>
    <t>전차참여분야</t>
    <phoneticPr fontId="2" type="noConversion"/>
  </si>
  <si>
    <t>경과기간(년)</t>
    <phoneticPr fontId="2" type="noConversion"/>
  </si>
  <si>
    <t>계약기간(월)</t>
    <phoneticPr fontId="2" type="noConversion"/>
  </si>
  <si>
    <t>참여기간(월)</t>
    <phoneticPr fontId="2" type="noConversion"/>
  </si>
  <si>
    <t>참여적용비율</t>
    <phoneticPr fontId="2" type="noConversion"/>
  </si>
  <si>
    <t xml:space="preserve">해당 전차용역 현황을 기재하시기 바랍니다. </t>
    <phoneticPr fontId="23" type="noConversion"/>
  </si>
  <si>
    <t>용역에 참여한 기술자(사책,분책)현황을 기재합니다.</t>
    <phoneticPr fontId="23" type="noConversion"/>
  </si>
  <si>
    <t>계약기간</t>
    <phoneticPr fontId="2" type="noConversion"/>
  </si>
  <si>
    <t>공동도급현황</t>
    <phoneticPr fontId="2" type="noConversion"/>
  </si>
  <si>
    <t>착공일</t>
    <phoneticPr fontId="2" type="noConversion"/>
  </si>
  <si>
    <t>준공일</t>
    <phoneticPr fontId="2" type="noConversion"/>
  </si>
  <si>
    <t>업체명</t>
    <phoneticPr fontId="2" type="noConversion"/>
  </si>
  <si>
    <t>지분율</t>
    <phoneticPr fontId="2" type="noConversion"/>
  </si>
  <si>
    <t>전차용역의범위</t>
    <phoneticPr fontId="2" type="noConversion"/>
  </si>
  <si>
    <t>준공일</t>
    <phoneticPr fontId="2" type="noConversion"/>
  </si>
  <si>
    <t>부실벌점</t>
    <phoneticPr fontId="2" type="noConversion"/>
  </si>
  <si>
    <t>업체</t>
    <phoneticPr fontId="2" type="noConversion"/>
  </si>
  <si>
    <t>우수(하위)
용역업자</t>
    <phoneticPr fontId="2" type="noConversion"/>
  </si>
  <si>
    <t>평 가</t>
    <phoneticPr fontId="2" type="noConversion"/>
  </si>
  <si>
    <t>-0.5</t>
    <phoneticPr fontId="2" type="noConversion"/>
  </si>
  <si>
    <t>2.기술능력</t>
    <phoneticPr fontId="2" type="noConversion"/>
  </si>
  <si>
    <t>3.업무관리능력</t>
    <phoneticPr fontId="2" type="noConversion"/>
  </si>
  <si>
    <t>4. 경력</t>
    <phoneticPr fontId="2" type="noConversion"/>
  </si>
  <si>
    <t>5. 실적</t>
    <phoneticPr fontId="2" type="noConversion"/>
  </si>
  <si>
    <t>6. 전차용역</t>
    <phoneticPr fontId="2" type="noConversion"/>
  </si>
  <si>
    <t>1.등급</t>
    <phoneticPr fontId="2" type="noConversion"/>
  </si>
  <si>
    <t xml:space="preserve">2. 각 실적 입력 시트에  </t>
    <phoneticPr fontId="2" type="noConversion"/>
  </si>
  <si>
    <t>3. 각 기술자별 시트의 유사용역 제외금액란에는 공고시 유사용역 범위 외에 해당하는 용역금액을 기입합니다.</t>
    <phoneticPr fontId="2" type="noConversion"/>
  </si>
  <si>
    <t>4. 만약 평가지침과 본 평가표 양식의 차이가 발생할 시에는 평가지침의 내용을 따릅니다.</t>
    <phoneticPr fontId="2" type="noConversion"/>
  </si>
  <si>
    <t xml:space="preserve">6. 평가부서에서는 업체에서 제출한 작성표를 근거로 관련 증빙자료 검증 후 점수를 조정할 수 있습니다. </t>
    <phoneticPr fontId="2" type="noConversion"/>
  </si>
  <si>
    <t>7. 엑셀수식오류 및 업체의 양식임의변경으로 발생될 수 있는 오류에 대하여는 당사에서 책임지지 않으니, 
    업체산정점수와 엑셀산출점수를 확인 후 제출바랍니다.</t>
    <phoneticPr fontId="2" type="noConversion"/>
  </si>
  <si>
    <t>8. 본 엑셀양식은 가로인쇄로 작성되어 있으며  인쇄후 평가서 제본시에는 접지않고 세로로 편철하여 제출하시기 바랍니다.</t>
    <phoneticPr fontId="2" type="noConversion"/>
  </si>
  <si>
    <t>9. 추가로 증빙자료의 총괄 설명이 필요할시에는 임의양식으로 작성제출 하시기 바랍니다.</t>
    <phoneticPr fontId="2" type="noConversion"/>
  </si>
  <si>
    <t>색으로 표시된 셀은 집계표의 참조셀이므로 절대로 삭제하면 안됩니다.</t>
    <phoneticPr fontId="2" type="noConversion"/>
  </si>
  <si>
    <t>20점 이상</t>
    <phoneticPr fontId="2" type="noConversion"/>
  </si>
  <si>
    <t>1점이상 2점미만</t>
    <phoneticPr fontId="2" type="noConversion"/>
  </si>
  <si>
    <t>2점이상 5점미만</t>
    <phoneticPr fontId="2" type="noConversion"/>
  </si>
  <si>
    <t>5점이상 10점미만</t>
    <phoneticPr fontId="2" type="noConversion"/>
  </si>
  <si>
    <t>10점이상 15점미만</t>
    <phoneticPr fontId="2" type="noConversion"/>
  </si>
  <si>
    <t>15점이상 20점미만</t>
    <phoneticPr fontId="2" type="noConversion"/>
  </si>
  <si>
    <t>참여기간</t>
    <phoneticPr fontId="2" type="noConversion"/>
  </si>
  <si>
    <t>영향평가, 기본및 실시설계, 실시계획 등의 유사용역 외의 실적에 해당금액은 유사용역 제외금액에 입력합니다.</t>
    <phoneticPr fontId="23" type="noConversion"/>
  </si>
  <si>
    <t xml:space="preserve">업체의 실적금액은 금번 시행하는 용역의 지침상 인정하는 범위에 해당하는 금액만을 실적으로 인정합니다. 
발주청에서 시행한 지구단위계획용역 또는 과업내용 중 지구단위계획이 포함된 용역으로서 
기본계획, 개발계획용역을 같이 수행한 경우에는 기본계획, 개발계획의 실적금액(설계관련 실적제외)을 모두 인정합니다. 
단, 과업포함여부 확인은 발주청에서 발급한 실적증명서 상 과업내용으로 명확하게 명시된 경우에 한하여 인정합니다. </t>
    <phoneticPr fontId="23" type="noConversion"/>
  </si>
  <si>
    <t>5.</t>
    <phoneticPr fontId="23" type="noConversion"/>
  </si>
  <si>
    <t>6.</t>
    <phoneticPr fontId="23" type="noConversion"/>
  </si>
  <si>
    <t>7.</t>
    <phoneticPr fontId="23" type="noConversion"/>
  </si>
  <si>
    <t>3,</t>
    <phoneticPr fontId="23" type="noConversion"/>
  </si>
  <si>
    <t>4,</t>
    <phoneticPr fontId="23" type="noConversion"/>
  </si>
  <si>
    <t>도시계획</t>
    <phoneticPr fontId="2" type="noConversion"/>
  </si>
  <si>
    <t>□ 투자실적(10점)</t>
    <phoneticPr fontId="2" type="noConversion"/>
  </si>
  <si>
    <t xml:space="preserve">근거법: 택지개발촉진법 </t>
    <phoneticPr fontId="23" type="noConversion"/>
  </si>
  <si>
    <t>인천도시공사</t>
  </si>
  <si>
    <t>경기도시공사</t>
  </si>
  <si>
    <t>금곡지구 택지개발사업 조사설계용역</t>
  </si>
  <si>
    <t>괴산발효식품농공단지실시설계용역</t>
  </si>
  <si>
    <t>괴산군</t>
  </si>
  <si>
    <t>전차용역 (1점)
(배점한도)</t>
    <phoneticPr fontId="2" type="noConversion"/>
  </si>
  <si>
    <t xml:space="preserve"> </t>
    <phoneticPr fontId="2" type="noConversion"/>
  </si>
  <si>
    <t>참여
지분율</t>
    <phoneticPr fontId="2" type="noConversion"/>
  </si>
  <si>
    <t>중복기간합계
(개월)</t>
    <phoneticPr fontId="23" type="noConversion"/>
  </si>
  <si>
    <t>2</t>
    <phoneticPr fontId="23" type="noConversion"/>
  </si>
  <si>
    <t>PQ서류 제출일기준 잔여과업기간이 3개월이상인 용역에 대하여 작성합니다.</t>
    <phoneticPr fontId="23" type="noConversion"/>
  </si>
  <si>
    <t>3</t>
    <phoneticPr fontId="23" type="noConversion"/>
  </si>
  <si>
    <t>4</t>
    <phoneticPr fontId="23" type="noConversion"/>
  </si>
  <si>
    <t>ㄱ 형 perfobond리브 전단연결재를 적용한 콘크리트 충전강관거더 교량 시공기술</t>
  </si>
  <si>
    <t>강관 내·외부 또는 내부에 ㄱ형 돌기를 갖는 부착보강재(perfobond리브 전단열재)를 설치하고 콘크리트를 강관에 충전함으로써 충전콘크리트 또는 바닥판과 강관간의 합성거동효과 증대로 거더의 휨내력을 증진시킨 CFT(Concrete Filled Tubular)거더 교량 시공기술이다</t>
  </si>
  <si>
    <t>특허</t>
  </si>
  <si>
    <t>은평지구 뉴타운 도시개발사업 조사설계 용역</t>
  </si>
  <si>
    <t xml:space="preserve">▣근거법:산업입지및개발에관한법률
위치:경기도 평택시 오성면 양교리,
 청북면 토진.후사리 일원
면적:600,978㎡ 
토질조사및시험:46,594,900원 
에너지사용계획:38,326,000원
기본계획:158,479,200원
기본및실시설계:886,882,700원
광역교통개선대책:22,899,800원
도시기본계획(변경)수립:
88,330,000원
환경영향평가:256,183,400원
사전재해영향성검토:18,969,500원
교통영향평가:137,575,900원
측량:28,411,900원
재해영향평가:50,563,700원
진입도로설계:124,072,300원
인구영향평가:45,497,100원
농업생산기반시설정비:
265,546,900원
</t>
    <phoneticPr fontId="63" type="noConversion"/>
  </si>
  <si>
    <t xml:space="preserve">근거법:택지개발촉진법
면적:A지구:589,570.3㎡
     B지구:217,750㎡
A지구
기본계획:96,913,200원
기본및실시설계:49,638,160원
특수구조물실시설계:
 607,513,000원
지반조사비:100,053,000원
에너지사용계획:65,565,000원
지구단위계획:163,587,000원
문화재지표조사:24,213,440원
추가설계용역비:224,485,879원
손해배상공제료:6,887,321원
부가가치세:127,141,800원
B지구
기본계획:37,412,100원
기본및실시설계:159,323,911원
지반조사비:21,787,400원
지구단위계획:58,914,200원
문화재지표조사:8,758,800원
손해배상공제료:771,658원
추가설계용역비:42,017,931월
부가가치세:31,434,200원
</t>
    <phoneticPr fontId="63" type="noConversion"/>
  </si>
  <si>
    <t>김포한강지구 택지개발사업 조사설계용역</t>
  </si>
  <si>
    <t xml:space="preserve">근거법:택지개발촉진법
위치:경기김포시운양동일원
면적:10,872,190.7㎡
 (연약지반:4,016,000㎡)
토질조사(시추조사338공)
 :1,128,751,800원
기본계획:1,331,973,500원
기본및실시설계
 :6,192,959,300원
조경기본계획:119,732,800원
에너지사용계획:198,631,400원
용역손해보험료:27,283,300원
지구지정제안서:23,852,400원
특수구조물기본및실시설계:
 2,108,506,400원
송전설로이설:161,502,000원
</t>
    <phoneticPr fontId="63" type="noConversion"/>
  </si>
  <si>
    <t xml:space="preserve">근거법:산업입지및개발에관한법률
면적:12,018,189㎡
위치:충청남도당진군석문면삼봉리,
 고대면성산리일원및해면 일부지역
기본계획:582,878,000원
지구단위계획:345,070,000원
기본및실시설계(특수구조물포함):
7,329,819,000원
조경기본계획:155,661,000원 
토질조사:1,104,477,000원
에너지사용계획:190,735,000원
매립재확보방안검토:182,600,000원
</t>
    <phoneticPr fontId="63" type="noConversion"/>
  </si>
  <si>
    <t>김포한강지구 택지개발사업 지구단위계획 및 경관계획수립 용역</t>
  </si>
  <si>
    <t xml:space="preserve">근거법:택지개발촉진법,
 국토의계획및이용에관한법률
위치:경기도김포시운양동일원
면적:10,872,190.7㎡
지구단위계획부문:
 1,049,488,176원
경관계획부문:641,483,824원
</t>
    <phoneticPr fontId="63" type="noConversion"/>
  </si>
  <si>
    <t>토목구조참여기술자 실적</t>
    <phoneticPr fontId="23" type="noConversion"/>
  </si>
  <si>
    <t>토질지질참여기술자 실적</t>
    <phoneticPr fontId="23" type="noConversion"/>
  </si>
  <si>
    <t>토목구조분야
책임기술자 실적</t>
    <phoneticPr fontId="23" type="noConversion"/>
  </si>
  <si>
    <t>도로및공항분야
책임기술자 실적</t>
    <phoneticPr fontId="23" type="noConversion"/>
  </si>
  <si>
    <t>상하수도
참여기술자 실적</t>
    <phoneticPr fontId="23" type="noConversion"/>
  </si>
  <si>
    <t>석문국가산업단지 개발사업 조사설계용역</t>
    <phoneticPr fontId="23" type="noConversion"/>
  </si>
  <si>
    <t>관련근거법:산업입지및개발에관한법률
면적:12,018,189㎡</t>
    <phoneticPr fontId="23" type="noConversion"/>
  </si>
  <si>
    <t>한국토지주택공사당진사업본부</t>
    <phoneticPr fontId="23" type="noConversion"/>
  </si>
  <si>
    <t>대구신서지구 택지개발사업 조사설계용역</t>
    <phoneticPr fontId="23" type="noConversion"/>
  </si>
  <si>
    <t>관련근거법:택지개발촉진법, 공공기관 지방이전에
따른 혁신도시건설 및 지원에 관한 특별법
면적:4,216,496㎡</t>
    <phoneticPr fontId="23" type="noConversion"/>
  </si>
  <si>
    <t>한국토지주택공사대구경북지역본부</t>
    <phoneticPr fontId="23" type="noConversion"/>
  </si>
  <si>
    <t>인천경제자유구역 영종하늘도시 개발사업 조사설계용역(1단계)</t>
    <phoneticPr fontId="23" type="noConversion"/>
  </si>
  <si>
    <t>관련근거법:경제자유구역의지정및운영에관한특별법
면적:15,067,747㎡</t>
    <phoneticPr fontId="23" type="noConversion"/>
  </si>
  <si>
    <t>한국토지주택공사 청라영종사업본부</t>
    <phoneticPr fontId="23" type="noConversion"/>
  </si>
  <si>
    <t>행복도시 첫마을사업 도시조성공사 설계용역</t>
    <phoneticPr fontId="23" type="noConversion"/>
  </si>
  <si>
    <t>·관련근거법:행정중심 복합도시건설을 위한 특별법
·면적:1,130,000㎡</t>
    <phoneticPr fontId="23" type="noConversion"/>
  </si>
  <si>
    <t>강관말뚝과 PHC말뚝을 결합구로 용접시킨 매입형 복합말뚝(HCP:Hybrid Composite Pile)의 설계 및 시공 방법</t>
    <phoneticPr fontId="23" type="noConversion"/>
  </si>
  <si>
    <t>거더 단부의 상부에 긴장재의 이완과 재긴장이 가능한 정착시스템을 이용한 프리스트레스트 콘크리트 거더 공법</t>
    <phoneticPr fontId="23" type="noConversion"/>
  </si>
  <si>
    <t>PSC I형 거더의 상연에 강판을 매설하고 부모멘트 구간에 강판 및 강선을 연결한 교량의 연속화 공법</t>
    <phoneticPr fontId="2" type="noConversion"/>
  </si>
  <si>
    <t>1점미만 (감점없음)</t>
    <phoneticPr fontId="2" type="noConversion"/>
  </si>
  <si>
    <t>1점미만 (감점없음)</t>
    <phoneticPr fontId="2" type="noConversion"/>
  </si>
  <si>
    <t xml:space="preserve"> - 개발계획</t>
    <phoneticPr fontId="23" type="noConversion"/>
  </si>
  <si>
    <t>강원발전연구원</t>
    <phoneticPr fontId="23" type="noConversion"/>
  </si>
  <si>
    <t xml:space="preserve"> - 지구단위계획</t>
    <phoneticPr fontId="23" type="noConversion"/>
  </si>
  <si>
    <t xml:space="preserve">근거법: 택지개발촉진법 </t>
    <phoneticPr fontId="23" type="noConversion"/>
  </si>
  <si>
    <t>도시계획</t>
    <phoneticPr fontId="23" type="noConversion"/>
  </si>
  <si>
    <t>성남판교지구 택지개발사업 조사설계
용역(1단계)</t>
    <phoneticPr fontId="23" type="noConversion"/>
  </si>
  <si>
    <t>시화2단계(송산그린시티)개발사업
제3공구기본및실시설계용역</t>
    <phoneticPr fontId="2" type="noConversion"/>
  </si>
  <si>
    <t>구미국가산업단지 확장단지 조성사업 
지구단위계획 용역</t>
    <phoneticPr fontId="23" type="noConversion"/>
  </si>
  <si>
    <t>동해안권 경제자유구역 지정을 위한 
개발계획수립용역중 기술및도면작성
부문 위탁용역</t>
    <phoneticPr fontId="23" type="noConversion"/>
  </si>
  <si>
    <t>평택오성산업단지조성사업조사설계
용역</t>
    <phoneticPr fontId="2" type="noConversion"/>
  </si>
  <si>
    <t>경기지방공사</t>
  </si>
  <si>
    <t>한국토지공사</t>
  </si>
  <si>
    <t>파주출판문화정보 국가산업단지 2단계 조사설계 용역</t>
  </si>
  <si>
    <t>석문국가 산업단지 개발사업 조사설계용역</t>
  </si>
  <si>
    <t>한국토지주택공사 당진사업본부</t>
  </si>
  <si>
    <t>상하수도분야
책임기술자 실적</t>
    <phoneticPr fontId="23" type="noConversion"/>
  </si>
  <si>
    <t xml:space="preserve"> - 설계업체 근무실적 양식</t>
    <phoneticPr fontId="23" type="noConversion"/>
  </si>
  <si>
    <t>소계</t>
    <phoneticPr fontId="23" type="noConversion"/>
  </si>
  <si>
    <t>총계</t>
    <phoneticPr fontId="23" type="noConversion"/>
  </si>
  <si>
    <t>한국토지주택공사세종시사업본부</t>
    <phoneticPr fontId="23" type="noConversion"/>
  </si>
  <si>
    <t>-</t>
    <phoneticPr fontId="2" type="noConversion"/>
  </si>
  <si>
    <t>입찰공고일 :</t>
    <phoneticPr fontId="23" type="noConversion"/>
  </si>
  <si>
    <t>기술개요</t>
    <phoneticPr fontId="23" type="noConversion"/>
  </si>
  <si>
    <t>최초
출원인</t>
    <phoneticPr fontId="23" type="noConversion"/>
  </si>
  <si>
    <t>출원
인수</t>
    <phoneticPr fontId="23" type="noConversion"/>
  </si>
  <si>
    <t>지정(출원)일</t>
    <phoneticPr fontId="23" type="noConversion"/>
  </si>
  <si>
    <t>건설신기술</t>
    <phoneticPr fontId="23" type="noConversion"/>
  </si>
  <si>
    <t>신기술 소계</t>
    <phoneticPr fontId="23" type="noConversion"/>
  </si>
  <si>
    <t>특허</t>
    <phoneticPr fontId="23" type="noConversion"/>
  </si>
  <si>
    <t xml:space="preserve"> 특허 20년미만 소계</t>
    <phoneticPr fontId="23" type="noConversion"/>
  </si>
  <si>
    <t>특허</t>
    <phoneticPr fontId="23" type="noConversion"/>
  </si>
  <si>
    <t>특허</t>
    <phoneticPr fontId="23" type="noConversion"/>
  </si>
  <si>
    <t>특허 10년미만 소계</t>
    <phoneticPr fontId="23" type="noConversion"/>
  </si>
  <si>
    <t>SH 공사</t>
  </si>
  <si>
    <t>2002-12-30</t>
  </si>
  <si>
    <t>2008-12-02</t>
  </si>
  <si>
    <t xml:space="preserve">
▣근거법:도시개발법
면적 : 3,492,421㎡
기본계획:502,148,815원
기본및실시설계:1,744,167,431원
토질조사:341,897,536원
에너지사용계획:109,847,431원
지구단위계획:633,359,509원
문화재지표조사:25,267,955원
측량:390,058,858원
개발제한구역해제:8,421,600원
환경생태계획수립:8,421,600원
뉴타운기록화사업:85,100,000원
건축설계지침:111,655,000원
진관근린공원 기본계획:
107,045,001원
자원회수시설 기본계획 및 입찰
안내서 작성:128,894,475원
도시환경디자인:156,578,400원
지하수영향분석:85,248,000원
실개천 유지용수공급 방안
:44,862,400원
중심상업용지 개발관련 수요분석
및 시뮬레이션:47,843,400원
재정비촉진계획(변경)수립:
113,302,549원
문화재가치평가학술:46,200,000원
환경영향평가조사:154,156,746원
</t>
    <phoneticPr fontId="2" type="noConversion"/>
  </si>
  <si>
    <t>도로및공항</t>
    <phoneticPr fontId="2" type="noConversion"/>
  </si>
  <si>
    <t>강동권역 택지개발사업 조사설계 용역</t>
  </si>
  <si>
    <t>SH공사</t>
  </si>
  <si>
    <t>2002-04-30</t>
  </si>
  <si>
    <t>2006-01-13</t>
  </si>
  <si>
    <t>근거법: 택지개발촉진법
위치:경기도 공명시 소하동,
하안동 일원
면적: 1,050,358.03㎡
(317,733평)
과업내용:(VAT포함)
개발계획 \ 69,326,000
실시계획(기본설계포함) 
\ 216,796,000
지구단위계획\99,045,000
환경영향평가\189,244,000
교통영향평가\113,145,000
재해영향평가\91,265 000
인구영향평가\54,606,000</t>
    <phoneticPr fontId="2" type="noConversion"/>
  </si>
  <si>
    <t>신기술</t>
  </si>
  <si>
    <t>중복비율 : (수행중인 다른 용역들의 중복기간 합계/해당용역기간×100)</t>
    <phoneticPr fontId="2" type="noConversion"/>
  </si>
  <si>
    <t>"해당사항 없음"</t>
    <phoneticPr fontId="2" type="noConversion"/>
  </si>
  <si>
    <t>○ 등 급(13점[11점])</t>
    <phoneticPr fontId="2" type="noConversion"/>
  </si>
  <si>
    <t>○ 경력 및 실적(35점[37점])</t>
    <phoneticPr fontId="2" type="noConversion"/>
  </si>
  <si>
    <t>사업번호</t>
    <phoneticPr fontId="23" type="noConversion"/>
  </si>
  <si>
    <t>종  합  평  가  표</t>
    <phoneticPr fontId="2" type="noConversion"/>
  </si>
  <si>
    <t>평가항목</t>
    <phoneticPr fontId="2" type="noConversion"/>
  </si>
  <si>
    <t>세   부   사   항</t>
    <phoneticPr fontId="2" type="noConversion"/>
  </si>
  <si>
    <t>평가점수</t>
    <phoneticPr fontId="2" type="noConversion"/>
  </si>
  <si>
    <t>분 야 별</t>
    <phoneticPr fontId="2" type="noConversion"/>
  </si>
  <si>
    <t>배점</t>
    <phoneticPr fontId="2" type="noConversion"/>
  </si>
  <si>
    <t>항    목</t>
    <phoneticPr fontId="2" type="noConversion"/>
  </si>
  <si>
    <t>배 점</t>
    <phoneticPr fontId="2" type="noConversion"/>
  </si>
  <si>
    <t>Ⅰ.참여
기술자
[50]</t>
    <phoneticPr fontId="2" type="noConversion"/>
  </si>
  <si>
    <t>1. 등급 및 사업책임
   기술자 능력QBS)</t>
    <phoneticPr fontId="2" type="noConversion"/>
  </si>
  <si>
    <t>등급</t>
    <phoneticPr fontId="2" type="noConversion"/>
  </si>
  <si>
    <t>사책</t>
    <phoneticPr fontId="2" type="noConversion"/>
  </si>
  <si>
    <t>분책</t>
    <phoneticPr fontId="2" type="noConversion"/>
  </si>
  <si>
    <t>참여</t>
    <phoneticPr fontId="2" type="noConversion"/>
  </si>
  <si>
    <t>기술능력</t>
    <phoneticPr fontId="2" type="noConversion"/>
  </si>
  <si>
    <t>업무관리능력</t>
    <phoneticPr fontId="2" type="noConversion"/>
  </si>
  <si>
    <t>2. 경력,실적,
   교육훈련,전차용역</t>
    <phoneticPr fontId="2" type="noConversion"/>
  </si>
  <si>
    <t>경력</t>
    <phoneticPr fontId="2" type="noConversion"/>
  </si>
  <si>
    <t>실적</t>
    <phoneticPr fontId="2" type="noConversion"/>
  </si>
  <si>
    <t>교육훈련</t>
    <phoneticPr fontId="2" type="noConversion"/>
  </si>
  <si>
    <t>전차용역(기술자)</t>
    <phoneticPr fontId="2" type="noConversion"/>
  </si>
  <si>
    <t>Ⅱ.참여
업체
[40]</t>
    <phoneticPr fontId="2" type="noConversion"/>
  </si>
  <si>
    <t>3. 유사용역 수행실적</t>
    <phoneticPr fontId="2" type="noConversion"/>
  </si>
  <si>
    <t>최근 5년간</t>
    <phoneticPr fontId="2" type="noConversion"/>
  </si>
  <si>
    <t>건수</t>
    <phoneticPr fontId="2" type="noConversion"/>
  </si>
  <si>
    <t>금액</t>
    <phoneticPr fontId="2" type="noConversion"/>
  </si>
  <si>
    <t>전차용역(업체)</t>
    <phoneticPr fontId="2" type="noConversion"/>
  </si>
  <si>
    <t>4. 신용도</t>
    <phoneticPr fontId="2" type="noConversion"/>
  </si>
  <si>
    <t>제한,정지,부실벌점</t>
    <phoneticPr fontId="2" type="noConversion"/>
  </si>
  <si>
    <t>신용평가등급</t>
    <phoneticPr fontId="2" type="noConversion"/>
  </si>
  <si>
    <t>5. 기술개발 및 투자
   실적</t>
    <phoneticPr fontId="2" type="noConversion"/>
  </si>
  <si>
    <t>개발실적</t>
    <phoneticPr fontId="2" type="noConversion"/>
  </si>
  <si>
    <t>투자실적</t>
    <phoneticPr fontId="2" type="noConversion"/>
  </si>
  <si>
    <t>활용실적</t>
    <phoneticPr fontId="2" type="noConversion"/>
  </si>
  <si>
    <t>Ⅲ.업무중첩도[10]</t>
    <phoneticPr fontId="2" type="noConversion"/>
  </si>
  <si>
    <t>Ⅳ.가감점</t>
    <phoneticPr fontId="2" type="noConversion"/>
  </si>
  <si>
    <t>가감점</t>
    <phoneticPr fontId="2" type="noConversion"/>
  </si>
  <si>
    <t>계</t>
    <phoneticPr fontId="2" type="noConversion"/>
  </si>
  <si>
    <r>
      <t xml:space="preserve">5. '배점'시트는 평가점수산정시 필요한 기준들을 기입한 시트로 참고만 합니다. 
</t>
    </r>
    <r>
      <rPr>
        <sz val="12"/>
        <color indexed="10"/>
        <rFont val="돋움"/>
        <family val="3"/>
        <charset val="129"/>
      </rPr>
      <t xml:space="preserve">   단, 기술제안서(기술자평가서) 평가 및 QBS미평가시 사업책임기술자의 관련 항목 배점은 조정합니다. </t>
    </r>
    <phoneticPr fontId="2" type="noConversion"/>
  </si>
  <si>
    <t>PQ서류제출일</t>
    <phoneticPr fontId="23" type="noConversion"/>
  </si>
  <si>
    <t>한국수자원공사</t>
  </si>
  <si>
    <t>사업책임기술자 실적</t>
    <phoneticPr fontId="23" type="noConversion"/>
  </si>
  <si>
    <t>용역건수
(지분율
미반영)</t>
    <phoneticPr fontId="23" type="noConversion"/>
  </si>
  <si>
    <t>실적건수
(지분율
반영)</t>
    <phoneticPr fontId="23" type="noConversion"/>
  </si>
  <si>
    <t>도급
지분</t>
    <phoneticPr fontId="23" type="noConversion"/>
  </si>
  <si>
    <t>토목구조</t>
    <phoneticPr fontId="2" type="noConversion"/>
  </si>
  <si>
    <t>상하수도</t>
    <phoneticPr fontId="2" type="noConversion"/>
  </si>
  <si>
    <t>단부의 측면에 설치된 정착장치와 연속 텐던을 이용한 PSC-I형 거더 합성교의 연속화 공법</t>
    <phoneticPr fontId="23" type="noConversion"/>
  </si>
  <si>
    <t>자연분해성 섬유를 이용한 토사 및 풍화암 비탈면 녹화공법</t>
    <phoneticPr fontId="23" type="noConversion"/>
  </si>
  <si>
    <t>PS강봉에 프리스트레스를 도입한 단면력 저감형 PC옹벽공법</t>
    <phoneticPr fontId="23" type="noConversion"/>
  </si>
  <si>
    <t>PCS I형 거더의 상연에 강판을 매설하고 부모멘트 구간에 강판 및 강선을 연결한 교량의 연속화 공법</t>
    <phoneticPr fontId="23" type="noConversion"/>
  </si>
  <si>
    <t>터널 심발부 중앙공 선기폭 및 단계별 V-CUT 발파공법</t>
    <phoneticPr fontId="23" type="noConversion"/>
  </si>
  <si>
    <t>고강도 프리캐스트 패널(LB-DECK)과 전용 작업대차를 활용한 교량 바닥판 시공공법</t>
    <phoneticPr fontId="23" type="noConversion"/>
  </si>
  <si>
    <t>WPC(Wide flange Prestressed Concrete)박스거더 교량공법</t>
    <phoneticPr fontId="23" type="noConversion"/>
  </si>
  <si>
    <t>거더 단부의 상부에 긴장재의 이완과 재긴장이 가능한 정착시스템을 이용한 프리스트레스트 콘크리트 거더 공법</t>
    <phoneticPr fontId="23" type="noConversion"/>
  </si>
  <si>
    <t>LU형으로 3차원 가공된 이형철근을 결합한 강관말뚝 두부보강 공법</t>
    <phoneticPr fontId="23" type="noConversion"/>
  </si>
  <si>
    <t>특급</t>
    <phoneticPr fontId="2" type="noConversion"/>
  </si>
  <si>
    <t>특급</t>
    <phoneticPr fontId="2" type="noConversion"/>
  </si>
  <si>
    <t>특급</t>
    <phoneticPr fontId="2" type="noConversion"/>
  </si>
  <si>
    <t>"해당사항 없음"</t>
    <phoneticPr fontId="2" type="noConversion"/>
  </si>
  <si>
    <t>도로공항</t>
    <phoneticPr fontId="2" type="noConversion"/>
  </si>
  <si>
    <t>토질지질</t>
    <phoneticPr fontId="2" type="noConversion"/>
  </si>
  <si>
    <t>번호</t>
    <phoneticPr fontId="23" type="noConversion"/>
  </si>
  <si>
    <t>참여용역명</t>
    <phoneticPr fontId="2" type="noConversion"/>
  </si>
  <si>
    <t>사업개요</t>
    <phoneticPr fontId="23" type="noConversion"/>
  </si>
  <si>
    <t>발주처</t>
    <phoneticPr fontId="23" type="noConversion"/>
  </si>
  <si>
    <t>비고</t>
    <phoneticPr fontId="23" type="noConversion"/>
  </si>
  <si>
    <t>용역
준공일</t>
    <phoneticPr fontId="23" type="noConversion"/>
  </si>
  <si>
    <t>▣ 유사용역 수행실적</t>
    <phoneticPr fontId="2" type="noConversion"/>
  </si>
  <si>
    <t>용역기간</t>
    <phoneticPr fontId="23" type="noConversion"/>
  </si>
  <si>
    <t>준공
금액
(백만원)</t>
    <phoneticPr fontId="2" type="noConversion"/>
  </si>
  <si>
    <t>실적제외금액(백만원)</t>
    <phoneticPr fontId="23" type="noConversion"/>
  </si>
  <si>
    <t>도급지분</t>
    <phoneticPr fontId="23" type="noConversion"/>
  </si>
  <si>
    <t>적용금액
(백만원)</t>
    <phoneticPr fontId="23" type="noConversion"/>
  </si>
  <si>
    <t>실적금액
(백만원)</t>
    <phoneticPr fontId="23" type="noConversion"/>
  </si>
  <si>
    <t>용역건수
(지분율미반영)</t>
    <phoneticPr fontId="23" type="noConversion"/>
  </si>
  <si>
    <t>실적건수
(지분율반영)</t>
    <phoneticPr fontId="23" type="noConversion"/>
  </si>
  <si>
    <t>용역
계약일</t>
    <phoneticPr fontId="23" type="noConversion"/>
  </si>
  <si>
    <t>합계</t>
    <phoneticPr fontId="23" type="noConversion"/>
  </si>
  <si>
    <t>주)1.</t>
    <phoneticPr fontId="23" type="noConversion"/>
  </si>
  <si>
    <t>위 양식은 단지조성공사 설계용역에 해당하며, 2.3억원 실적기준이 적용되지 않는 용역의 경우에는 양식을 수정하여 작성바랍니다. 단, 최종 점수 셀은 유지해야 점수가 합산되오니 주의 바랍니다.</t>
    <phoneticPr fontId="23" type="noConversion"/>
  </si>
  <si>
    <t xml:space="preserve">    2.</t>
    <phoneticPr fontId="23" type="noConversion"/>
  </si>
  <si>
    <t>실적금액에 따른 건수인정기준은 공동도급비율 적용 전의 금액을 기준으로 산정하며, 건수산정 후 공동도급비율을 반영합니다.</t>
    <phoneticPr fontId="23" type="noConversion"/>
  </si>
  <si>
    <t>3.</t>
    <phoneticPr fontId="23" type="noConversion"/>
  </si>
  <si>
    <t>발주청이 발행한 실적증명서나 계약서 사본(원본대조필)으로 하되 참여기술자, 용역수행기간, 준공금액 및 공동도급업체수가 확인될 수 있어야 합니다.</t>
    <phoneticPr fontId="23" type="noConversion"/>
  </si>
  <si>
    <t>4.</t>
    <phoneticPr fontId="23" type="noConversion"/>
  </si>
  <si>
    <t>설계·시공일괄입찰 또는 대안입찰방식으로 참여하여 낙찰자 및 설계보상대상자로 지정된 경우에는 해당 발주기관이 발급한 증명서를 첨부하되 해당입찰의 낙찰금액이 확인될 수 있어야 합니다.</t>
    <phoneticPr fontId="23" type="noConversion"/>
  </si>
  <si>
    <t>5.</t>
    <phoneticPr fontId="23" type="noConversion"/>
  </si>
  <si>
    <t>기입란이 부족한 경우 행 삽입,삭제가 가능하며, 행삽입,삭제시 실적이 합계에서 누락되지 않도록 반드시 확인(유사용역 시트) 주의해야 합니다</t>
    <phoneticPr fontId="23" type="noConversion"/>
  </si>
  <si>
    <t>개발실적</t>
    <phoneticPr fontId="23" type="noConversion"/>
  </si>
  <si>
    <t>입찰공고일 :</t>
    <phoneticPr fontId="23" type="noConversion"/>
  </si>
  <si>
    <t>기술개요</t>
    <phoneticPr fontId="23" type="noConversion"/>
  </si>
  <si>
    <t>특허</t>
    <phoneticPr fontId="23" type="noConversion"/>
  </si>
  <si>
    <t xml:space="preserve"> 특허 20년미만 소계</t>
    <phoneticPr fontId="23" type="noConversion"/>
  </si>
  <si>
    <t>특허</t>
    <phoneticPr fontId="23" type="noConversion"/>
  </si>
  <si>
    <t>특허 10년미만 소계</t>
    <phoneticPr fontId="23" type="noConversion"/>
  </si>
  <si>
    <t>특허 5년미만 소계</t>
    <phoneticPr fontId="23" type="noConversion"/>
  </si>
  <si>
    <t>실용신안</t>
    <phoneticPr fontId="23" type="noConversion"/>
  </si>
  <si>
    <t>실용신안 10년미만 소계</t>
    <phoneticPr fontId="23" type="noConversion"/>
  </si>
  <si>
    <t>실용신안</t>
    <phoneticPr fontId="23" type="noConversion"/>
  </si>
  <si>
    <t>실용신안 5년미만 소계</t>
    <phoneticPr fontId="23" type="noConversion"/>
  </si>
  <si>
    <t>주) 1.</t>
    <phoneticPr fontId="23" type="noConversion"/>
  </si>
  <si>
    <t>19</t>
    <phoneticPr fontId="23" type="noConversion"/>
  </si>
  <si>
    <t xml:space="preserve"> 2.</t>
    <phoneticPr fontId="23" type="noConversion"/>
  </si>
  <si>
    <t>경과기간은 출원일로부터 경과기간을 기재해야 하며, 2인이상 출원시 출원인수로 나누어 산정한 건수로 산정되어집니다.</t>
    <phoneticPr fontId="23" type="noConversion"/>
  </si>
  <si>
    <t xml:space="preserve"> 3.</t>
    <phoneticPr fontId="23" type="noConversion"/>
  </si>
  <si>
    <t>증빙서류는 최근 1월 이내에 관할기관에서 발행한 등본이어야 합니다.</t>
    <phoneticPr fontId="23" type="noConversion"/>
  </si>
  <si>
    <t>종류</t>
    <phoneticPr fontId="23" type="noConversion"/>
  </si>
  <si>
    <t>지정
번호</t>
    <phoneticPr fontId="23" type="noConversion"/>
  </si>
  <si>
    <t>기술명</t>
    <phoneticPr fontId="2" type="noConversion"/>
  </si>
  <si>
    <t>경과기간
가중치</t>
    <phoneticPr fontId="23" type="noConversion"/>
  </si>
  <si>
    <t>실적
금액
(백만원)</t>
    <phoneticPr fontId="23" type="noConversion"/>
  </si>
  <si>
    <t>실적
건수</t>
    <phoneticPr fontId="23" type="noConversion"/>
  </si>
  <si>
    <t>금액
가중치</t>
    <phoneticPr fontId="23" type="noConversion"/>
  </si>
  <si>
    <t>건수
가중치</t>
    <phoneticPr fontId="23" type="noConversion"/>
  </si>
  <si>
    <t>점수</t>
    <phoneticPr fontId="23" type="noConversion"/>
  </si>
  <si>
    <t>신기술</t>
    <phoneticPr fontId="23" type="noConversion"/>
  </si>
  <si>
    <t>신기술 소계</t>
    <phoneticPr fontId="23" type="noConversion"/>
  </si>
  <si>
    <t>특허</t>
    <phoneticPr fontId="23" type="noConversion"/>
  </si>
  <si>
    <t>특허 소계</t>
    <phoneticPr fontId="23" type="noConversion"/>
  </si>
  <si>
    <t>미제출</t>
  </si>
  <si>
    <t>특급</t>
    <phoneticPr fontId="2" type="noConversion"/>
  </si>
  <si>
    <t>특급</t>
    <phoneticPr fontId="2" type="noConversion"/>
  </si>
  <si>
    <t>도로및공항참여기술자 실적</t>
    <phoneticPr fontId="23" type="noConversion"/>
  </si>
  <si>
    <t>도시계획참여기술자 실적</t>
    <phoneticPr fontId="23" type="noConversion"/>
  </si>
  <si>
    <t>도시계획책임기술자 실적</t>
    <phoneticPr fontId="23" type="noConversion"/>
  </si>
  <si>
    <t xml:space="preserve"> - 기본 및 실시설계</t>
    <phoneticPr fontId="23" type="noConversion"/>
  </si>
  <si>
    <t xml:space="preserve"> - 실시설계</t>
    <phoneticPr fontId="23" type="noConversion"/>
  </si>
  <si>
    <t>한국토지주택공사</t>
  </si>
  <si>
    <t>▣ 용역 수행실적</t>
    <phoneticPr fontId="2" type="noConversion"/>
  </si>
  <si>
    <t>도로및공항 책임</t>
    <phoneticPr fontId="2" type="noConversion"/>
  </si>
  <si>
    <t>도시계획 책임</t>
    <phoneticPr fontId="2" type="noConversion"/>
  </si>
  <si>
    <t>상하수도 책임</t>
    <phoneticPr fontId="2" type="noConversion"/>
  </si>
  <si>
    <t>사 업 책 임</t>
    <phoneticPr fontId="2" type="noConversion"/>
  </si>
  <si>
    <t>토목구조 책임</t>
    <phoneticPr fontId="2" type="noConversion"/>
  </si>
  <si>
    <t>도시계획 참여</t>
    <phoneticPr fontId="2" type="noConversion"/>
  </si>
  <si>
    <t>상하수도 참여</t>
    <phoneticPr fontId="2" type="noConversion"/>
  </si>
  <si>
    <t>토질·지질 참여</t>
    <phoneticPr fontId="2" type="noConversion"/>
  </si>
  <si>
    <t>토목구조 참여</t>
    <phoneticPr fontId="2" type="noConversion"/>
  </si>
  <si>
    <t>(11/11)×1 = 1.0</t>
    <phoneticPr fontId="2" type="noConversion"/>
  </si>
  <si>
    <t>실용신안</t>
    <phoneticPr fontId="23" type="noConversion"/>
  </si>
  <si>
    <t>           2주이상교육자                                                                                                               (11)인</t>
    <phoneticPr fontId="2" type="noConversion"/>
  </si>
  <si>
    <t>강박스 내측 하면에 아치형상의 콘크리트를 타설한 개구형박스 단면을 Ⅰ형 단면의 상부에 조합하여 변단면 구조를 갖도록 한 강합성거더 공법</t>
    <phoneticPr fontId="23" type="noConversion"/>
  </si>
  <si>
    <t>㈜경동엔지니어링
외 3인</t>
    <phoneticPr fontId="23" type="noConversion"/>
  </si>
  <si>
    <t>"해당사항 없음"</t>
    <phoneticPr fontId="2" type="noConversion"/>
  </si>
  <si>
    <t>"해당사항 없음"</t>
    <phoneticPr fontId="2" type="noConversion"/>
  </si>
  <si>
    <t>특허</t>
    <phoneticPr fontId="23" type="noConversion"/>
  </si>
  <si>
    <t>"해당사항 없음"</t>
    <phoneticPr fontId="2" type="noConversion"/>
  </si>
  <si>
    <t>이 기술은 강재거더를 지점부에서는 폐단면이고 지간 중앙부에서는 개구형박스(⊔)단면이 I형단면과 아치형태의 변단면 구성을 갖는 형상이며,강박스 내부에 압축 주응력이 작용하는 방향을따라 아치형태의 콘크리트를 배치하여 이종재료의 상호보완효과로 효율적인 단면강성을 확보함에 따라 좌굴저항성 증대와 보강재를 최소화 할 수 있는 동시에 진동성능을 증대시킬 수 있는 강합성거더 공법이다</t>
    <phoneticPr fontId="23" type="noConversion"/>
  </si>
  <si>
    <t>단부의 측면에 설치된 정착장치와 연속 텐던을 이용한 PSC-I형 거더 합성교의 연속화 공법</t>
  </si>
  <si>
    <t>자연분해성 섬유를 이용한 토사 및 풍화암 비탈면 녹화공법</t>
  </si>
  <si>
    <t>에어튜브를 이용한 에어데크 발파공법</t>
  </si>
  <si>
    <t>고강도 프리캐스트 패널(LB-DECK)과 전용 작업대차를 활용한 교량 바닥판 시공공법</t>
    <phoneticPr fontId="23" type="noConversion"/>
  </si>
  <si>
    <t>특허 5년미만 소계</t>
    <phoneticPr fontId="23" type="noConversion"/>
  </si>
  <si>
    <t>실용신안</t>
    <phoneticPr fontId="23" type="noConversion"/>
  </si>
  <si>
    <t>실용신안 10년미만 소계</t>
    <phoneticPr fontId="23" type="noConversion"/>
  </si>
  <si>
    <t>하수도정비대책수립</t>
    <phoneticPr fontId="23" type="noConversion"/>
  </si>
  <si>
    <t>-</t>
    <phoneticPr fontId="23" type="noConversion"/>
  </si>
  <si>
    <t>-</t>
    <phoneticPr fontId="23" type="noConversion"/>
  </si>
  <si>
    <t>바(BAR)조립식 보수팩커와 가지관 보수팩커를 이용한 하수관거 비굴착 부분보수공법 (Multi Point Liner System/MPL공법)</t>
    <phoneticPr fontId="63" type="noConversion"/>
  </si>
  <si>
    <t>수냉 비정질 C12A7계 시멘트 광물계 급결제와 복합에어인젝션 시스템으로 구성된 타설 장비를 이용한 습식 숏크리트 공법</t>
    <phoneticPr fontId="63" type="noConversion"/>
  </si>
  <si>
    <t>단부의 측면에 설치된 정착장치와 연속 텐던을 이용한 PSC-I형 거더 합성교의 연속화 공법</t>
    <phoneticPr fontId="63" type="noConversion"/>
  </si>
  <si>
    <t>특허</t>
    <phoneticPr fontId="63" type="noConversion"/>
  </si>
  <si>
    <t>10-0440671</t>
  </si>
  <si>
    <t>강관말뚝 결합구</t>
    <phoneticPr fontId="63" type="noConversion"/>
  </si>
  <si>
    <t>도시계획 책임</t>
    <phoneticPr fontId="2" type="noConversion"/>
  </si>
  <si>
    <t>토질·지질 책임</t>
    <phoneticPr fontId="2" type="noConversion"/>
  </si>
  <si>
    <t>도로및공항 참여</t>
    <phoneticPr fontId="2" type="noConversion"/>
  </si>
  <si>
    <t xml:space="preserve">단지조성 등 설계용역 </t>
    <phoneticPr fontId="2" type="noConversion"/>
  </si>
  <si>
    <t>oo엔지니어링</t>
    <phoneticPr fontId="2" type="noConversion"/>
  </si>
  <si>
    <t>＊＊엔지니어링</t>
    <phoneticPr fontId="2" type="noConversion"/>
  </si>
  <si>
    <t>☆☆엔지니어링</t>
    <phoneticPr fontId="2" type="noConversion"/>
  </si>
  <si>
    <t>김사책</t>
    <phoneticPr fontId="2" type="noConversion"/>
  </si>
  <si>
    <t>ooo</t>
    <phoneticPr fontId="2" type="noConversion"/>
  </si>
  <si>
    <t>□ 사업책임기술자 000(참여업체)</t>
    <phoneticPr fontId="2" type="noConversion"/>
  </si>
  <si>
    <t>□ 도시계획분야 책임기술자  000(참여업체)</t>
    <phoneticPr fontId="2" type="noConversion"/>
  </si>
  <si>
    <t>□ 토질·지질분야 책임기술자  000(참여업체)</t>
    <phoneticPr fontId="2" type="noConversion"/>
  </si>
  <si>
    <t xml:space="preserve"> </t>
    <phoneticPr fontId="23" type="noConversion"/>
  </si>
  <si>
    <t xml:space="preserve"> </t>
    <phoneticPr fontId="23" type="noConversion"/>
  </si>
  <si>
    <t>OOOOOO</t>
    <phoneticPr fontId="2" type="noConversion"/>
  </si>
  <si>
    <t>OOO</t>
    <phoneticPr fontId="2" type="noConversion"/>
  </si>
  <si>
    <t>OOO</t>
    <phoneticPr fontId="23" type="noConversion"/>
  </si>
  <si>
    <t>OOO</t>
    <phoneticPr fontId="23" type="noConversion"/>
  </si>
  <si>
    <t>OOO</t>
    <phoneticPr fontId="2" type="noConversion"/>
  </si>
  <si>
    <t>OOO</t>
    <phoneticPr fontId="63" type="noConversion"/>
  </si>
  <si>
    <t>□ 도로·공항분야 책임기술자 000 (참여업체)</t>
    <phoneticPr fontId="2" type="noConversion"/>
  </si>
  <si>
    <t>□ 토목구조분야 책임기술자   000 (참여업체)</t>
    <phoneticPr fontId="2" type="noConversion"/>
  </si>
  <si>
    <t>□ 상하수도분야 책임기술자   000 (참여업체)</t>
    <phoneticPr fontId="23" type="noConversion"/>
  </si>
  <si>
    <t>도책임</t>
    <phoneticPr fontId="2" type="noConversion"/>
  </si>
  <si>
    <t xml:space="preserve"> </t>
    <phoneticPr fontId="63" type="noConversion"/>
  </si>
  <si>
    <t xml:space="preserve">신기술 활용실적  </t>
    <phoneticPr fontId="23" type="noConversion"/>
  </si>
  <si>
    <t>신기술 활용실적  00엔지니어링</t>
    <phoneticPr fontId="23" type="noConversion"/>
  </si>
  <si>
    <t>10. 엑셀서식오류 등 작성양식과 관련된 문의 사항은 본사 기술지원단 (055-922-5372)로 문의 바랍니다.</t>
    <phoneticPr fontId="2" type="noConversion"/>
  </si>
  <si>
    <t>분야6</t>
    <phoneticPr fontId="2" type="noConversion"/>
  </si>
  <si>
    <t>조경</t>
    <phoneticPr fontId="2" type="noConversion"/>
  </si>
  <si>
    <t>4. 용역수행성과</t>
    <phoneticPr fontId="2" type="noConversion"/>
  </si>
  <si>
    <t>배점한도적용</t>
    <phoneticPr fontId="2" type="noConversion"/>
  </si>
  <si>
    <t>분야별참여기술자</t>
    <phoneticPr fontId="2" type="noConversion"/>
  </si>
  <si>
    <t>실무기술자</t>
    <phoneticPr fontId="2" type="noConversion"/>
  </si>
  <si>
    <t>BBB-이상</t>
    <phoneticPr fontId="2" type="noConversion"/>
  </si>
  <si>
    <t>BBB-미만B-이상</t>
    <phoneticPr fontId="2" type="noConversion"/>
  </si>
  <si>
    <t>A3-이상</t>
    <phoneticPr fontId="2" type="noConversion"/>
  </si>
  <si>
    <t>중소기업 상생발전</t>
    <phoneticPr fontId="2" type="noConversion"/>
  </si>
  <si>
    <t>중소 신생기업참여</t>
    <phoneticPr fontId="2" type="noConversion"/>
  </si>
  <si>
    <t>하도급계획서 제출</t>
    <phoneticPr fontId="2" type="noConversion"/>
  </si>
  <si>
    <t>참여</t>
    <phoneticPr fontId="2" type="noConversion"/>
  </si>
  <si>
    <t>미참여</t>
    <phoneticPr fontId="2" type="noConversion"/>
  </si>
  <si>
    <t>건설기술자
신규고용율</t>
    <phoneticPr fontId="2" type="noConversion"/>
  </si>
  <si>
    <t>특급</t>
  </si>
  <si>
    <t>용역수행성과</t>
    <phoneticPr fontId="2" type="noConversion"/>
  </si>
  <si>
    <t>6. 중소기업 상생발전</t>
    <phoneticPr fontId="2" type="noConversion"/>
  </si>
  <si>
    <t>중소.신생기업참여</t>
    <phoneticPr fontId="2" type="noConversion"/>
  </si>
  <si>
    <t>하도급계획서제출</t>
    <phoneticPr fontId="2" type="noConversion"/>
  </si>
  <si>
    <t>분야별책임</t>
    <phoneticPr fontId="2" type="noConversion"/>
  </si>
  <si>
    <t>분야별참여</t>
    <phoneticPr fontId="2" type="noConversion"/>
  </si>
  <si>
    <t>사업책임기술자 경력</t>
    <phoneticPr fontId="23" type="noConversion"/>
  </si>
  <si>
    <t>번호</t>
    <phoneticPr fontId="23" type="noConversion"/>
  </si>
  <si>
    <t>참여용역명</t>
    <phoneticPr fontId="2" type="noConversion"/>
  </si>
  <si>
    <t>용역기간</t>
    <phoneticPr fontId="2" type="noConversion"/>
  </si>
  <si>
    <t>인정일</t>
    <phoneticPr fontId="2" type="noConversion"/>
  </si>
  <si>
    <t>유사용역
가중치</t>
    <phoneticPr fontId="23" type="noConversion"/>
  </si>
  <si>
    <t>적용
건수</t>
    <phoneticPr fontId="23" type="noConversion"/>
  </si>
  <si>
    <t>비고</t>
    <phoneticPr fontId="23" type="noConversion"/>
  </si>
  <si>
    <t>용역
착수일</t>
    <phoneticPr fontId="23" type="noConversion"/>
  </si>
  <si>
    <t>용역
준공일</t>
    <phoneticPr fontId="23" type="noConversion"/>
  </si>
  <si>
    <t>용역기간
(일)</t>
    <phoneticPr fontId="23" type="noConversion"/>
  </si>
  <si>
    <t>계</t>
    <phoneticPr fontId="23" type="noConversion"/>
  </si>
  <si>
    <t>년</t>
    <phoneticPr fontId="23" type="noConversion"/>
  </si>
  <si>
    <t>주)</t>
    <phoneticPr fontId="23" type="noConversion"/>
  </si>
  <si>
    <t>※신고자의 실적에 해당하는 양식을  사용하여 작성합니다. 합계건수가 기술자 시트에 입력 되도록 확인합니다.</t>
    <phoneticPr fontId="23" type="noConversion"/>
  </si>
  <si>
    <t>참여기술자가 발주청 및 엔지니어 등 수행한 용역을 기초로 해당 양식을 사용하여 작성 합니다.</t>
    <phoneticPr fontId="23" type="noConversion"/>
  </si>
  <si>
    <t>발주청에서 직접 자체설계한 실적은 감독관리건수에 포함하여 작성합니다.</t>
    <phoneticPr fontId="23" type="noConversion"/>
  </si>
  <si>
    <t>과업참여기간이 30일 이상인 용역 참여건의 참여기간을 전체 계약기간 중 실제 참여기간에 대한 비율로 평가합니다.
다만, 최대용역기간은 24개월을 초과할 수 없도록 산식이 되어 있으며, 참여개월수 또한 24개월을 초과할 수 없습니다.
예를 들어 실제 용역기간이 48개월이고, 그 중에 24개월만 참여한 경우에는 비율 100% 적용을 받습니다.</t>
    <phoneticPr fontId="23" type="noConversion"/>
  </si>
  <si>
    <t>용역중지기간은 용역기간 및 참여기간에 포함시키지 않습니다.</t>
    <phoneticPr fontId="23" type="noConversion"/>
  </si>
  <si>
    <t>용역실적증명서(원본 또는 사본)를 첨부하고, 실적대조를 위하여 양식에 작성된 연번을 반드시 기재하시기 바라며, 연번 순서대로 제본하여야 합니다.</t>
    <phoneticPr fontId="23" type="noConversion"/>
  </si>
  <si>
    <t>용역실적증명서의 참여기술자 명단이 누락 되었거나, 참여기술자 명단에 해당 참여기술자가 누락된 경우에는 해당실적을 인정하지 않습니다.</t>
    <phoneticPr fontId="23" type="noConversion"/>
  </si>
  <si>
    <t xml:space="preserve">업체의 실적금액은 금번 시행하는 용역의 지침상 인정하는 범위에 해당하는 금액만을 실적으로 인정합니다. 
발주청에서 시행한 지구단위계획용역 또는 과업내용 중 지구단위계획이 포함된 용역으로서 
기본계획, 개발계획용역을 같이 수행한 경우에는 기본계획, 개발계획의 실적금액(설계관련 실적제외)을 모두 인정합니다. 
단, 과업포함여부 확인은 발주청에서 발급한 실적증명서 상 과업내용으로 명확하게 명시된 경우에 한하여 인정합니다. </t>
    <phoneticPr fontId="23" type="noConversion"/>
  </si>
  <si>
    <t>영향평가, 기본및 실시설계, 실시계획 등의 유사용역 외의 실적에 해당금액은 유사용역 제외금액에 입력합니다.</t>
    <phoneticPr fontId="23" type="noConversion"/>
  </si>
  <si>
    <r>
      <t>기입란은 행 삽입,삭제가 가능하며, 행삽입,삭제시 실적이 합계에서 누락되지 않도록 반드시 확인(기술자실적 시트) 주의해야 합니다</t>
    </r>
    <r>
      <rPr>
        <sz val="10"/>
        <rFont val="돋움"/>
        <family val="3"/>
        <charset val="129"/>
      </rPr>
      <t>.</t>
    </r>
    <phoneticPr fontId="23" type="noConversion"/>
  </si>
  <si>
    <t>김사책</t>
    <phoneticPr fontId="2" type="noConversion"/>
  </si>
  <si>
    <t>00택지개발 조사설계용역</t>
    <phoneticPr fontId="2" type="noConversion"/>
  </si>
  <si>
    <t>준공면적
(㎡)</t>
    <phoneticPr fontId="2" type="noConversion"/>
  </si>
  <si>
    <t>준공면적
적용계수</t>
    <phoneticPr fontId="2" type="noConversion"/>
  </si>
  <si>
    <t>토질지질책임기술자 실적</t>
    <phoneticPr fontId="23" type="noConversion"/>
  </si>
  <si>
    <t>토책임</t>
    <phoneticPr fontId="2" type="noConversion"/>
  </si>
  <si>
    <t>용역수행성과(2점)</t>
    <phoneticPr fontId="2" type="noConversion"/>
  </si>
  <si>
    <t>업체명</t>
    <phoneticPr fontId="2" type="noConversion"/>
  </si>
  <si>
    <t>용역명</t>
    <phoneticPr fontId="2" type="noConversion"/>
  </si>
  <si>
    <t>착공일</t>
    <phoneticPr fontId="2" type="noConversion"/>
  </si>
  <si>
    <t>준공일</t>
    <phoneticPr fontId="2" type="noConversion"/>
  </si>
  <si>
    <t>제출일</t>
    <phoneticPr fontId="2" type="noConversion"/>
  </si>
  <si>
    <t>점수</t>
    <phoneticPr fontId="2" type="noConversion"/>
  </si>
  <si>
    <t>"해당없음"</t>
    <phoneticPr fontId="2" type="noConversion"/>
  </si>
  <si>
    <t>"해당없음"</t>
    <phoneticPr fontId="2" type="noConversion"/>
  </si>
  <si>
    <t>주1)</t>
    <phoneticPr fontId="2" type="noConversion"/>
  </si>
  <si>
    <t>00엔지니어링</t>
    <phoneticPr fontId="2" type="noConversion"/>
  </si>
  <si>
    <t xml:space="preserve"> 용역평가는 건진법 제50조에 따른 평가를 원칙으로 하되, 용역 특성을 반영하여 발주청에서 별도로 정한 평가의 결과를 활용할 수 있음</t>
    <phoneticPr fontId="2" type="noConversion"/>
  </si>
  <si>
    <t>용역착수시까지 하도급계획서 상 하도급 시행비율 및 하도급율 이상으로 하도급계약을 체결하여야 하며, 그 사실을 용역감독에게 제출하여야 함</t>
  </si>
  <si>
    <t xml:space="preserve">사업수행능력 평가서류 제출 시 [별지서식] 하도급계획서를 제출하는 자에 한하여 가점혜택이 부여되며, </t>
    <phoneticPr fontId="2" type="noConversion"/>
  </si>
  <si>
    <t>주2)</t>
    <phoneticPr fontId="2" type="noConversion"/>
  </si>
  <si>
    <t>(단, [별표3]에서 정한 유사용역 인정범위 공종에 대한 지정제안, 타당성조사, 기본구상, 기본계획, 기본설계, 실시설계용역 계약 실적만 해당)</t>
  </si>
  <si>
    <t>신생기업은 최근 3년 내 우리공사의 건설기술용역에 계약한 실적이 없는 업체임</t>
  </si>
  <si>
    <t>주1)</t>
    <phoneticPr fontId="2" type="noConversion"/>
  </si>
  <si>
    <t>점수</t>
    <phoneticPr fontId="2" type="noConversion"/>
  </si>
  <si>
    <t>하도급율</t>
    <phoneticPr fontId="2" type="noConversion"/>
  </si>
  <si>
    <t>하도급 시행비율</t>
    <phoneticPr fontId="2" type="noConversion"/>
  </si>
  <si>
    <t>하도금액</t>
    <phoneticPr fontId="2" type="noConversion"/>
  </si>
  <si>
    <t>업체명</t>
    <phoneticPr fontId="2" type="noConversion"/>
  </si>
  <si>
    <t>□ 하도급 시행계획서 제출(1점)</t>
    <phoneticPr fontId="2" type="noConversion"/>
  </si>
  <si>
    <t>점수</t>
    <phoneticPr fontId="2" type="noConversion"/>
  </si>
  <si>
    <t>참여여부</t>
    <phoneticPr fontId="2" type="noConversion"/>
  </si>
  <si>
    <r>
      <t>□ 중소</t>
    </r>
    <r>
      <rPr>
        <b/>
        <sz val="14"/>
        <rFont val="MingLiU"/>
        <family val="3"/>
        <charset val="136"/>
      </rPr>
      <t>‧</t>
    </r>
    <r>
      <rPr>
        <b/>
        <sz val="14"/>
        <rFont val="돋움체"/>
        <family val="3"/>
        <charset val="129"/>
      </rPr>
      <t>신생기업 참여(1점)</t>
    </r>
    <phoneticPr fontId="2" type="noConversion"/>
  </si>
  <si>
    <t>중소기업 상생발전(2점)</t>
    <phoneticPr fontId="2" type="noConversion"/>
  </si>
  <si>
    <t>oo엔지니어링</t>
  </si>
  <si>
    <t>＊＊엔지니어링</t>
  </si>
  <si>
    <t>☆☆엔지니어링</t>
  </si>
  <si>
    <t>5. 업무중복도 (10점)</t>
    <phoneticPr fontId="2" type="noConversion"/>
  </si>
  <si>
    <t>구분</t>
    <phoneticPr fontId="23" type="noConversion"/>
  </si>
  <si>
    <t>사업책임</t>
    <phoneticPr fontId="23" type="noConversion"/>
  </si>
  <si>
    <t>분책소계</t>
  </si>
  <si>
    <t>분참소계</t>
    <phoneticPr fontId="2" type="noConversion"/>
  </si>
  <si>
    <t>실무소계</t>
    <phoneticPr fontId="2" type="noConversion"/>
  </si>
  <si>
    <t>미평가</t>
    <phoneticPr fontId="2" type="noConversion"/>
  </si>
  <si>
    <t>미평가</t>
    <phoneticPr fontId="2" type="noConversion"/>
  </si>
  <si>
    <t>미평가</t>
    <phoneticPr fontId="2" type="noConversion"/>
  </si>
  <si>
    <t>중첩률</t>
    <phoneticPr fontId="23" type="noConversion"/>
  </si>
  <si>
    <t>평점</t>
    <phoneticPr fontId="23" type="noConversion"/>
  </si>
  <si>
    <t>배점기준</t>
    <phoneticPr fontId="23" type="noConversion"/>
  </si>
  <si>
    <t>벌점여부</t>
    <phoneticPr fontId="23" type="noConversion"/>
  </si>
  <si>
    <t>분야별책임</t>
    <phoneticPr fontId="23" type="noConversion"/>
  </si>
  <si>
    <t>분야별참여</t>
    <phoneticPr fontId="2" type="noConversion"/>
  </si>
  <si>
    <t>분야별실무</t>
    <phoneticPr fontId="2" type="noConversion"/>
  </si>
  <si>
    <t>용역계약서사본, 참여기술자명단 등 현재 수행중인 용역현황을 파악할 수 있는 증빙서류를 첨부합니다.</t>
    <phoneticPr fontId="23" type="noConversion"/>
  </si>
  <si>
    <t>현재 중지중인 용역에 대하여도 모두 기재하시기 바라며, 이경우에 해당시 중지일 및 중지사유 기재. 공사발주완료된 경우는 확인할수 있는 근거서류 제출합니다.</t>
    <phoneticPr fontId="23" type="noConversion"/>
  </si>
  <si>
    <t xml:space="preserve">□ 사업책임기술자(3점)  </t>
    <phoneticPr fontId="2" type="noConversion"/>
  </si>
  <si>
    <t xml:space="preserve">□ 분야별 책임기술자(4점)  </t>
    <phoneticPr fontId="2" type="noConversion"/>
  </si>
  <si>
    <t xml:space="preserve">□ 분야별 참여기술자(2점)  </t>
    <phoneticPr fontId="2" type="noConversion"/>
  </si>
  <si>
    <t>□ 도시계획분야 참여기술자  000(참여업체)</t>
    <phoneticPr fontId="2" type="noConversion"/>
  </si>
  <si>
    <t>□ 토질·지질분야 참여기술자  000(참여업체)</t>
    <phoneticPr fontId="2" type="noConversion"/>
  </si>
  <si>
    <t>□ 도로·공항분야 참여기술자 000 (참여업체)</t>
    <phoneticPr fontId="2" type="noConversion"/>
  </si>
  <si>
    <t>□ 토목구조분야 참여기술자   000 (참여업체)</t>
    <phoneticPr fontId="2" type="noConversion"/>
  </si>
  <si>
    <t>□ 상하수도분야 참여기술자   000 (참여업체)</t>
    <phoneticPr fontId="23" type="noConversion"/>
  </si>
  <si>
    <t xml:space="preserve">□ 분야별 실무기술자(1점)  </t>
    <phoneticPr fontId="2" type="noConversion"/>
  </si>
  <si>
    <t>□ 도시계획분야 실무기술자  000(참여업체)</t>
    <phoneticPr fontId="2" type="noConversion"/>
  </si>
  <si>
    <t>□ 토질·지질분야 실무기술자  000(참여업체)</t>
    <phoneticPr fontId="2" type="noConversion"/>
  </si>
  <si>
    <t>□ 도로·공항분야 실무기술자 000 (참여업체)</t>
    <phoneticPr fontId="2" type="noConversion"/>
  </si>
  <si>
    <t>□ 토목구조분야 실무기술자   000 (참여업체)</t>
    <phoneticPr fontId="2" type="noConversion"/>
  </si>
  <si>
    <t>□ 상하수도분야 실무기술자   000 (참여업체)</t>
    <phoneticPr fontId="23" type="noConversion"/>
  </si>
  <si>
    <t>건설기술자
신규고용율</t>
    <phoneticPr fontId="2" type="noConversion"/>
  </si>
  <si>
    <t>입찰공고일</t>
    <phoneticPr fontId="23" type="noConversion"/>
  </si>
  <si>
    <t>입찰공고일</t>
    <phoneticPr fontId="23" type="noConversion"/>
  </si>
  <si>
    <t>입찰공고일</t>
    <phoneticPr fontId="23" type="noConversion"/>
  </si>
  <si>
    <t>입찰공고일</t>
    <phoneticPr fontId="23" type="noConversion"/>
  </si>
  <si>
    <t>입찰공고일</t>
    <phoneticPr fontId="23" type="noConversion"/>
  </si>
  <si>
    <t>입찰공고일</t>
    <phoneticPr fontId="23" type="noConversion"/>
  </si>
  <si>
    <t>입찰공고일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</si>
</sst>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1" formatCode="_-* #,##0_-;\-* #,##0_-;_-* &quot;-&quot;_-;_-@_-"/>
    <numFmt numFmtId="43" formatCode="_-* #,##0.00_-;\-* #,##0.00_-;_-* &quot;-&quot;??_-;_-@_-"/>
    <numFmt numFmtId="176" formatCode="0.0_ "/>
    <numFmt numFmtId="177" formatCode="0.00_ "/>
    <numFmt numFmtId="178" formatCode="0.0%"/>
    <numFmt numFmtId="179" formatCode="_-* #,##0.0_-;\-* #,##0.0_-;_-* &quot;-&quot;_-;_-@_-"/>
    <numFmt numFmtId="180" formatCode="_-* #,##0.00_-;\-* #,##0.00_-;_-* &quot;-&quot;_-;_-@_-"/>
    <numFmt numFmtId="181" formatCode="General&quot;년이상&quot;"/>
    <numFmt numFmtId="182" formatCode="General&quot;건이상&quot;"/>
    <numFmt numFmtId="183" formatCode="General&quot;건미만&quot;"/>
    <numFmt numFmtId="184" formatCode="General&quot;년미만&quot;"/>
    <numFmt numFmtId="185" formatCode="General&quot;억이상&quot;"/>
    <numFmt numFmtId="186" formatCode="_-* #,##0.00_-;\-* #,##0.00_-;_-* &quot;-&quot;?_-;_-@_-"/>
    <numFmt numFmtId="187" formatCode="General&quot;명&quot;"/>
    <numFmt numFmtId="188" formatCode="General&quot;건&quot;"/>
    <numFmt numFmtId="189" formatCode="0_);[Red]\(0\)"/>
    <numFmt numFmtId="190" formatCode="0.0_);[Red]\(0.0\)"/>
    <numFmt numFmtId="191" formatCode="0.00_);[Red]\(0.00\)"/>
    <numFmt numFmtId="192" formatCode="General&quot;이상&quot;"/>
    <numFmt numFmtId="193" formatCode="#,##0_ "/>
    <numFmt numFmtId="194" formatCode="#,##0.00_ "/>
    <numFmt numFmtId="195" formatCode="#,##0;[Black]#,##0"/>
    <numFmt numFmtId="196" formatCode="#,##0.00;[Black]#,##0.00"/>
    <numFmt numFmtId="197" formatCode="yy&quot;년&quot;/mm&quot;월&quot;"/>
    <numFmt numFmtId="198" formatCode="0.00&quot;건&quot;"/>
    <numFmt numFmtId="199" formatCode="0%&quot;이&quot;&quot;상&quot;"/>
    <numFmt numFmtId="200" formatCode="0%&quot;미&quot;&quot;만&quot;"/>
    <numFmt numFmtId="201" formatCode="#,##0&quot;㎡&quot;"/>
    <numFmt numFmtId="202" formatCode="#,##0&quot;천&quot;&quot;원&quot;"/>
    <numFmt numFmtId="203" formatCode="#,##0&quot;만㎡&quot;"/>
    <numFmt numFmtId="204" formatCode="0.0&quot;건&quot;"/>
    <numFmt numFmtId="205" formatCode="yy&quot;-&quot;mm&quot;-&quot;dd"/>
    <numFmt numFmtId="206" formatCode="#,##0.00_);[Red]\(#,##0.00\)"/>
    <numFmt numFmtId="207" formatCode="00&quot;개&quot;&quot;월&quot;"/>
    <numFmt numFmtId="208" formatCode="0.00;_가"/>
    <numFmt numFmtId="209" formatCode="00.00&quot;개&quot;&quot;월&quot;"/>
    <numFmt numFmtId="210" formatCode="0_ "/>
    <numFmt numFmtId="211" formatCode="0.00%&quot;이상&quot;"/>
    <numFmt numFmtId="212" formatCode="0%&quot;이상&quot;"/>
    <numFmt numFmtId="213" formatCode="0.00&quot;점&quot;"/>
    <numFmt numFmtId="214" formatCode="00.00"/>
    <numFmt numFmtId="215" formatCode="0&quot;점&quot;"/>
    <numFmt numFmtId="216" formatCode="0%&quot;이&quot;&quot;하&quot;"/>
    <numFmt numFmtId="217" formatCode="0%&quot;초&quot;&quot;과&quot;"/>
  </numFmts>
  <fonts count="7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.8000000000000007"/>
      <color indexed="8"/>
      <name val="바탕"/>
      <family val="1"/>
      <charset val="129"/>
    </font>
    <font>
      <sz val="11"/>
      <name val="바탕"/>
      <family val="1"/>
      <charset val="129"/>
    </font>
    <font>
      <sz val="13"/>
      <name val="바탕"/>
      <family val="1"/>
      <charset val="129"/>
    </font>
    <font>
      <sz val="10"/>
      <name val="바탕"/>
      <family val="1"/>
      <charset val="129"/>
    </font>
    <font>
      <sz val="16"/>
      <name val="바탕"/>
      <family val="1"/>
      <charset val="129"/>
    </font>
    <font>
      <sz val="14"/>
      <name val="바탕"/>
      <family val="1"/>
      <charset val="129"/>
    </font>
    <font>
      <b/>
      <sz val="18"/>
      <name val="돋움체"/>
      <family val="3"/>
      <charset val="129"/>
    </font>
    <font>
      <b/>
      <sz val="12"/>
      <name val="돋움체"/>
      <family val="3"/>
      <charset val="129"/>
    </font>
    <font>
      <sz val="11"/>
      <name val="돋움체"/>
      <family val="3"/>
      <charset val="129"/>
    </font>
    <font>
      <sz val="13"/>
      <name val="돋움체"/>
      <family val="3"/>
      <charset val="129"/>
    </font>
    <font>
      <b/>
      <sz val="13"/>
      <name val="돋움체"/>
      <family val="3"/>
      <charset val="129"/>
    </font>
    <font>
      <b/>
      <sz val="14"/>
      <name val="돋움체"/>
      <family val="3"/>
      <charset val="129"/>
    </font>
    <font>
      <sz val="10"/>
      <name val="돋움체"/>
      <family val="3"/>
      <charset val="129"/>
    </font>
    <font>
      <b/>
      <sz val="10"/>
      <name val="돋움체"/>
      <family val="3"/>
      <charset val="129"/>
    </font>
    <font>
      <sz val="10"/>
      <color indexed="10"/>
      <name val="돋움체"/>
      <family val="3"/>
      <charset val="129"/>
    </font>
    <font>
      <b/>
      <sz val="16"/>
      <name val="돋움체"/>
      <family val="3"/>
      <charset val="129"/>
    </font>
    <font>
      <sz val="16"/>
      <name val="돋움체"/>
      <family val="3"/>
      <charset val="129"/>
    </font>
    <font>
      <sz val="12"/>
      <name val="돋움체"/>
      <family val="3"/>
      <charset val="129"/>
    </font>
    <font>
      <sz val="14"/>
      <name val="돋움체"/>
      <family val="3"/>
      <charset val="129"/>
    </font>
    <font>
      <sz val="11"/>
      <color indexed="8"/>
      <name val="돋움체"/>
      <family val="3"/>
      <charset val="129"/>
    </font>
    <font>
      <b/>
      <sz val="14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b/>
      <sz val="8"/>
      <name val="돋움"/>
      <family val="3"/>
      <charset val="129"/>
    </font>
    <font>
      <b/>
      <sz val="7"/>
      <name val="돋움"/>
      <family val="3"/>
      <charset val="129"/>
    </font>
    <font>
      <sz val="7"/>
      <name val="돋움"/>
      <family val="3"/>
      <charset val="129"/>
    </font>
    <font>
      <b/>
      <sz val="8"/>
      <color indexed="10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9"/>
      <color indexed="8"/>
      <name val="한양신명조,한컴돋움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3"/>
      <color indexed="10"/>
      <name val="돋움체"/>
      <family val="3"/>
      <charset val="129"/>
    </font>
    <font>
      <sz val="12"/>
      <color indexed="8"/>
      <name val="한양중고딕,한컴돋움"/>
      <family val="3"/>
      <charset val="129"/>
    </font>
    <font>
      <sz val="10"/>
      <name val="굴림"/>
      <family val="3"/>
      <charset val="129"/>
    </font>
    <font>
      <b/>
      <sz val="10"/>
      <color indexed="10"/>
      <name val="돋움"/>
      <family val="3"/>
      <charset val="129"/>
    </font>
    <font>
      <b/>
      <sz val="10"/>
      <color indexed="10"/>
      <name val="굴림"/>
      <family val="3"/>
      <charset val="129"/>
    </font>
    <font>
      <b/>
      <sz val="8"/>
      <name val="돋움체"/>
      <family val="3"/>
      <charset val="129"/>
    </font>
    <font>
      <sz val="8"/>
      <name val="돋움체"/>
      <family val="3"/>
      <charset val="129"/>
    </font>
    <font>
      <sz val="8"/>
      <name val="바탕"/>
      <family val="1"/>
      <charset val="129"/>
    </font>
    <font>
      <b/>
      <sz val="10"/>
      <color indexed="8"/>
      <name val="돋움체"/>
      <family val="3"/>
      <charset val="129"/>
    </font>
    <font>
      <b/>
      <sz val="11"/>
      <name val="돋움체"/>
      <family val="3"/>
      <charset val="129"/>
    </font>
    <font>
      <b/>
      <sz val="12"/>
      <name val="굴림"/>
      <family val="3"/>
      <charset val="129"/>
    </font>
    <font>
      <sz val="10"/>
      <color indexed="8"/>
      <name val="돋움체"/>
      <family val="3"/>
      <charset val="129"/>
    </font>
    <font>
      <sz val="13"/>
      <color indexed="8"/>
      <name val="돋움체"/>
      <family val="3"/>
      <charset val="129"/>
    </font>
    <font>
      <sz val="12"/>
      <color indexed="63"/>
      <name val="굴림"/>
      <family val="3"/>
      <charset val="129"/>
    </font>
    <font>
      <sz val="12"/>
      <color indexed="8"/>
      <name val="굴림"/>
      <family val="3"/>
      <charset val="129"/>
    </font>
    <font>
      <sz val="12"/>
      <name val="굴림"/>
      <family val="3"/>
      <charset val="129"/>
    </font>
    <font>
      <sz val="13"/>
      <name val="굴림"/>
      <family val="3"/>
      <charset val="129"/>
    </font>
    <font>
      <sz val="8"/>
      <name val="굴림"/>
      <family val="3"/>
      <charset val="129"/>
    </font>
    <font>
      <b/>
      <sz val="12"/>
      <name val="굴림체"/>
      <family val="3"/>
      <charset val="129"/>
    </font>
    <font>
      <sz val="12"/>
      <color indexed="63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3"/>
      <color indexed="8"/>
      <name val="돋움체"/>
      <family val="3"/>
      <charset val="129"/>
    </font>
    <font>
      <sz val="12"/>
      <color indexed="10"/>
      <name val="돋움"/>
      <family val="3"/>
      <charset val="129"/>
    </font>
    <font>
      <b/>
      <sz val="10"/>
      <color indexed="81"/>
      <name val="굴림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휴먼명조,한컴돋움"/>
      <family val="3"/>
      <charset val="129"/>
    </font>
    <font>
      <sz val="9.5"/>
      <name val="돋움"/>
      <family val="3"/>
      <charset val="129"/>
    </font>
    <font>
      <sz val="7.7"/>
      <name val="돋움체"/>
      <family val="3"/>
      <charset val="129"/>
    </font>
    <font>
      <sz val="8"/>
      <name val="맑은 고딕"/>
      <family val="2"/>
    </font>
    <font>
      <sz val="8.5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theme="1"/>
      <name val="맑은 고딕"/>
      <family val="2"/>
      <scheme val="minor"/>
    </font>
    <font>
      <sz val="10"/>
      <color rgb="FFFF0000"/>
      <name val="돋움체"/>
      <family val="3"/>
      <charset val="129"/>
    </font>
    <font>
      <sz val="11"/>
      <color rgb="FFFF0000"/>
      <name val="돋움체"/>
      <family val="3"/>
      <charset val="129"/>
    </font>
    <font>
      <b/>
      <sz val="14"/>
      <name val="MingLiU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86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" fillId="0" borderId="0"/>
  </cellStyleXfs>
  <cellXfs count="1202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180" fontId="6" fillId="0" borderId="0" xfId="2" applyNumberFormat="1" applyFont="1" applyAlignment="1">
      <alignment horizontal="center" vertical="center"/>
    </xf>
    <xf numFmtId="180" fontId="6" fillId="0" borderId="0" xfId="2" applyNumberFormat="1" applyFont="1" applyAlignment="1">
      <alignment horizontal="center" vertical="center" wrapText="1"/>
    </xf>
    <xf numFmtId="180" fontId="4" fillId="0" borderId="0" xfId="2" applyNumberFormat="1" applyFont="1" applyFill="1">
      <alignment vertical="center"/>
    </xf>
    <xf numFmtId="190" fontId="8" fillId="0" borderId="0" xfId="0" applyNumberFormat="1" applyFont="1" applyAlignment="1">
      <alignment horizontal="center" vertical="center"/>
    </xf>
    <xf numFmtId="190" fontId="4" fillId="0" borderId="0" xfId="0" applyNumberFormat="1" applyFont="1" applyAlignment="1">
      <alignment horizontal="center" vertical="center"/>
    </xf>
    <xf numFmtId="180" fontId="4" fillId="0" borderId="0" xfId="2" applyNumberFormat="1" applyFont="1" applyFill="1" applyBorder="1" applyAlignment="1">
      <alignment horizontal="center" vertical="center"/>
    </xf>
    <xf numFmtId="180" fontId="5" fillId="0" borderId="0" xfId="2" applyNumberFormat="1" applyFont="1">
      <alignment vertical="center"/>
    </xf>
    <xf numFmtId="180" fontId="4" fillId="0" borderId="0" xfId="2" applyNumberFormat="1" applyFont="1">
      <alignment vertical="center"/>
    </xf>
    <xf numFmtId="180" fontId="8" fillId="0" borderId="0" xfId="2" applyNumberFormat="1" applyFont="1">
      <alignment vertical="center"/>
    </xf>
    <xf numFmtId="10" fontId="8" fillId="0" borderId="0" xfId="1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80" fontId="14" fillId="0" borderId="0" xfId="2" applyNumberFormat="1" applyFont="1" applyBorder="1" applyAlignment="1">
      <alignment horizontal="center" vertical="center" wrapText="1"/>
    </xf>
    <xf numFmtId="180" fontId="15" fillId="0" borderId="0" xfId="2" applyNumberFormat="1" applyFont="1" applyAlignment="1">
      <alignment horizontal="center" vertical="center" wrapText="1"/>
    </xf>
    <xf numFmtId="180" fontId="16" fillId="0" borderId="1" xfId="2" applyNumberFormat="1" applyFont="1" applyBorder="1" applyAlignment="1">
      <alignment horizontal="center" vertical="center" wrapText="1"/>
    </xf>
    <xf numFmtId="180" fontId="15" fillId="3" borderId="2" xfId="2" applyNumberFormat="1" applyFont="1" applyFill="1" applyBorder="1" applyAlignment="1">
      <alignment horizontal="center" vertical="center" wrapText="1"/>
    </xf>
    <xf numFmtId="180" fontId="15" fillId="3" borderId="3" xfId="2" applyNumberFormat="1" applyFont="1" applyFill="1" applyBorder="1" applyAlignment="1">
      <alignment horizontal="center" vertical="center" wrapText="1"/>
    </xf>
    <xf numFmtId="180" fontId="15" fillId="3" borderId="4" xfId="2" applyNumberFormat="1" applyFont="1" applyFill="1" applyBorder="1" applyAlignment="1">
      <alignment horizontal="center" vertical="center" wrapText="1"/>
    </xf>
    <xf numFmtId="180" fontId="16" fillId="0" borderId="5" xfId="2" applyNumberFormat="1" applyFont="1" applyBorder="1" applyAlignment="1">
      <alignment horizontal="center" vertical="center" wrapText="1"/>
    </xf>
    <xf numFmtId="180" fontId="16" fillId="0" borderId="6" xfId="2" applyNumberFormat="1" applyFont="1" applyBorder="1" applyAlignment="1">
      <alignment horizontal="center" vertical="center" wrapText="1"/>
    </xf>
    <xf numFmtId="180" fontId="17" fillId="0" borderId="7" xfId="2" applyNumberFormat="1" applyFont="1" applyFill="1" applyBorder="1" applyAlignment="1">
      <alignment horizontal="center" vertical="center" wrapText="1"/>
    </xf>
    <xf numFmtId="180" fontId="15" fillId="0" borderId="3" xfId="2" applyNumberFormat="1" applyFont="1" applyFill="1" applyBorder="1" applyAlignment="1">
      <alignment horizontal="center" vertical="center" wrapText="1"/>
    </xf>
    <xf numFmtId="0" fontId="15" fillId="4" borderId="3" xfId="2" applyNumberFormat="1" applyFont="1" applyFill="1" applyBorder="1" applyAlignment="1">
      <alignment horizontal="center" vertical="center" wrapText="1"/>
    </xf>
    <xf numFmtId="180" fontId="17" fillId="0" borderId="4" xfId="2" applyNumberFormat="1" applyFont="1" applyFill="1" applyBorder="1" applyAlignment="1">
      <alignment horizontal="center" vertical="center" wrapText="1"/>
    </xf>
    <xf numFmtId="181" fontId="15" fillId="3" borderId="3" xfId="2" applyNumberFormat="1" applyFont="1" applyFill="1" applyBorder="1" applyAlignment="1">
      <alignment horizontal="center" vertical="center" wrapText="1"/>
    </xf>
    <xf numFmtId="184" fontId="15" fillId="3" borderId="4" xfId="2" applyNumberFormat="1" applyFont="1" applyFill="1" applyBorder="1" applyAlignment="1">
      <alignment horizontal="center" vertical="center" wrapText="1"/>
    </xf>
    <xf numFmtId="0" fontId="15" fillId="4" borderId="4" xfId="2" applyNumberFormat="1" applyFont="1" applyFill="1" applyBorder="1" applyAlignment="1">
      <alignment horizontal="center" vertical="center" wrapText="1"/>
    </xf>
    <xf numFmtId="182" fontId="15" fillId="3" borderId="3" xfId="2" applyNumberFormat="1" applyFont="1" applyFill="1" applyBorder="1" applyAlignment="1">
      <alignment horizontal="center" vertical="center" wrapText="1"/>
    </xf>
    <xf numFmtId="183" fontId="15" fillId="3" borderId="4" xfId="2" applyNumberFormat="1" applyFont="1" applyFill="1" applyBorder="1" applyAlignment="1">
      <alignment horizontal="center" vertical="center" wrapText="1"/>
    </xf>
    <xf numFmtId="176" fontId="15" fillId="4" borderId="3" xfId="2" applyNumberFormat="1" applyFont="1" applyFill="1" applyBorder="1" applyAlignment="1">
      <alignment horizontal="center" vertical="center" wrapText="1"/>
    </xf>
    <xf numFmtId="176" fontId="15" fillId="4" borderId="4" xfId="2" applyNumberFormat="1" applyFont="1" applyFill="1" applyBorder="1" applyAlignment="1">
      <alignment horizontal="center" vertical="center" wrapText="1"/>
    </xf>
    <xf numFmtId="180" fontId="15" fillId="0" borderId="4" xfId="2" applyNumberFormat="1" applyFont="1" applyBorder="1" applyAlignment="1">
      <alignment horizontal="center" vertical="center" wrapText="1"/>
    </xf>
    <xf numFmtId="177" fontId="15" fillId="5" borderId="3" xfId="2" applyNumberFormat="1" applyFont="1" applyFill="1" applyBorder="1" applyAlignment="1">
      <alignment horizontal="center" vertical="center" wrapText="1"/>
    </xf>
    <xf numFmtId="177" fontId="15" fillId="4" borderId="3" xfId="2" applyNumberFormat="1" applyFont="1" applyFill="1" applyBorder="1" applyAlignment="1">
      <alignment horizontal="center" vertical="center" wrapText="1"/>
    </xf>
    <xf numFmtId="177" fontId="15" fillId="5" borderId="4" xfId="2" applyNumberFormat="1" applyFont="1" applyFill="1" applyBorder="1" applyAlignment="1">
      <alignment horizontal="center" vertical="center" wrapText="1"/>
    </xf>
    <xf numFmtId="177" fontId="15" fillId="4" borderId="4" xfId="2" applyNumberFormat="1" applyFont="1" applyFill="1" applyBorder="1" applyAlignment="1">
      <alignment horizontal="center" vertical="center" wrapText="1"/>
    </xf>
    <xf numFmtId="180" fontId="15" fillId="0" borderId="3" xfId="2" applyNumberFormat="1" applyFont="1" applyBorder="1" applyAlignment="1">
      <alignment horizontal="center" vertical="center" wrapText="1"/>
    </xf>
    <xf numFmtId="0" fontId="16" fillId="0" borderId="3" xfId="2" applyNumberFormat="1" applyFont="1" applyBorder="1" applyAlignment="1">
      <alignment horizontal="center" vertical="center" wrapText="1"/>
    </xf>
    <xf numFmtId="0" fontId="15" fillId="3" borderId="3" xfId="2" applyNumberFormat="1" applyFont="1" applyFill="1" applyBorder="1" applyAlignment="1">
      <alignment horizontal="center" vertical="center" wrapText="1"/>
    </xf>
    <xf numFmtId="0" fontId="15" fillId="0" borderId="3" xfId="2" applyNumberFormat="1" applyFont="1" applyBorder="1" applyAlignment="1">
      <alignment horizontal="center" vertical="center" wrapText="1"/>
    </xf>
    <xf numFmtId="180" fontId="15" fillId="0" borderId="4" xfId="2" applyNumberFormat="1" applyFont="1" applyFill="1" applyBorder="1" applyAlignment="1">
      <alignment horizontal="center" vertical="center" wrapText="1"/>
    </xf>
    <xf numFmtId="10" fontId="15" fillId="0" borderId="3" xfId="1" applyNumberFormat="1" applyFont="1" applyFill="1" applyBorder="1" applyAlignment="1">
      <alignment horizontal="center" vertical="center" wrapText="1"/>
    </xf>
    <xf numFmtId="10" fontId="15" fillId="0" borderId="4" xfId="1" applyNumberFormat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9" fontId="15" fillId="0" borderId="3" xfId="1" applyFont="1" applyFill="1" applyBorder="1" applyAlignment="1">
      <alignment horizontal="center" vertical="center" wrapText="1"/>
    </xf>
    <xf numFmtId="176" fontId="15" fillId="3" borderId="3" xfId="2" applyNumberFormat="1" applyFont="1" applyFill="1" applyBorder="1" applyAlignment="1">
      <alignment horizontal="center" vertical="center" wrapText="1"/>
    </xf>
    <xf numFmtId="176" fontId="15" fillId="3" borderId="4" xfId="2" applyNumberFormat="1" applyFont="1" applyFill="1" applyBorder="1" applyAlignment="1">
      <alignment horizontal="center" vertical="center" wrapText="1"/>
    </xf>
    <xf numFmtId="192" fontId="15" fillId="4" borderId="3" xfId="1" applyNumberFormat="1" applyFont="1" applyFill="1" applyBorder="1" applyAlignment="1">
      <alignment horizontal="center" vertical="center" wrapText="1"/>
    </xf>
    <xf numFmtId="192" fontId="15" fillId="4" borderId="8" xfId="1" applyNumberFormat="1" applyFont="1" applyFill="1" applyBorder="1" applyAlignment="1">
      <alignment horizontal="center" vertical="center" wrapText="1"/>
    </xf>
    <xf numFmtId="192" fontId="15" fillId="4" borderId="3" xfId="2" applyNumberFormat="1" applyFont="1" applyFill="1" applyBorder="1" applyAlignment="1">
      <alignment horizontal="center" vertical="center" wrapText="1"/>
    </xf>
    <xf numFmtId="192" fontId="15" fillId="4" borderId="8" xfId="2" applyNumberFormat="1" applyFont="1" applyFill="1" applyBorder="1" applyAlignment="1">
      <alignment horizontal="center" vertical="center" wrapText="1"/>
    </xf>
    <xf numFmtId="180" fontId="16" fillId="0" borderId="3" xfId="2" applyNumberFormat="1" applyFont="1" applyBorder="1" applyAlignment="1">
      <alignment horizontal="center" vertical="center" wrapText="1"/>
    </xf>
    <xf numFmtId="180" fontId="16" fillId="0" borderId="4" xfId="2" applyNumberFormat="1" applyFont="1" applyBorder="1" applyAlignment="1">
      <alignment horizontal="center" vertical="center" wrapText="1"/>
    </xf>
    <xf numFmtId="180" fontId="15" fillId="0" borderId="0" xfId="2" applyNumberFormat="1" applyFont="1" applyAlignment="1">
      <alignment horizontal="center" vertical="center"/>
    </xf>
    <xf numFmtId="41" fontId="15" fillId="0" borderId="0" xfId="2" applyFont="1" applyAlignment="1">
      <alignment horizontal="center" vertical="center"/>
    </xf>
    <xf numFmtId="41" fontId="15" fillId="0" borderId="0" xfId="2" applyFont="1" applyAlignment="1">
      <alignment horizontal="center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180" fontId="12" fillId="0" borderId="0" xfId="2" applyNumberFormat="1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Fill="1">
      <alignment vertical="center"/>
    </xf>
    <xf numFmtId="0" fontId="14" fillId="0" borderId="0" xfId="0" applyFont="1" applyFill="1">
      <alignment vertical="center"/>
    </xf>
    <xf numFmtId="9" fontId="21" fillId="0" borderId="0" xfId="1" applyFont="1" applyFill="1">
      <alignment vertical="center"/>
    </xf>
    <xf numFmtId="180" fontId="21" fillId="0" borderId="0" xfId="2" applyNumberFormat="1" applyFont="1" applyFill="1">
      <alignment vertical="center"/>
    </xf>
    <xf numFmtId="0" fontId="13" fillId="0" borderId="0" xfId="0" applyFont="1" applyFill="1">
      <alignment vertical="center"/>
    </xf>
    <xf numFmtId="9" fontId="12" fillId="0" borderId="0" xfId="1" applyFont="1" applyFill="1">
      <alignment vertical="center"/>
    </xf>
    <xf numFmtId="9" fontId="11" fillId="0" borderId="0" xfId="1" applyFont="1">
      <alignment vertical="center"/>
    </xf>
    <xf numFmtId="180" fontId="11" fillId="0" borderId="0" xfId="2" applyNumberFormat="1" applyFont="1">
      <alignment vertical="center"/>
    </xf>
    <xf numFmtId="0" fontId="11" fillId="0" borderId="0" xfId="0" applyFont="1" applyBorder="1">
      <alignment vertical="center"/>
    </xf>
    <xf numFmtId="9" fontId="11" fillId="0" borderId="0" xfId="1" applyFont="1" applyBorder="1">
      <alignment vertical="center"/>
    </xf>
    <xf numFmtId="180" fontId="11" fillId="0" borderId="0" xfId="2" applyNumberFormat="1" applyFont="1" applyBorder="1">
      <alignment vertical="center"/>
    </xf>
    <xf numFmtId="0" fontId="12" fillId="2" borderId="0" xfId="0" applyFont="1" applyFill="1" applyBorder="1">
      <alignment vertical="center"/>
    </xf>
    <xf numFmtId="9" fontId="12" fillId="2" borderId="0" xfId="1" applyFont="1" applyFill="1" applyBorder="1">
      <alignment vertical="center"/>
    </xf>
    <xf numFmtId="180" fontId="12" fillId="2" borderId="0" xfId="2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180" fontId="21" fillId="0" borderId="0" xfId="2" applyNumberFormat="1" applyFont="1">
      <alignment vertical="center"/>
    </xf>
    <xf numFmtId="0" fontId="14" fillId="0" borderId="0" xfId="0" applyFont="1" applyAlignment="1">
      <alignment horizontal="left" vertical="center"/>
    </xf>
    <xf numFmtId="190" fontId="21" fillId="0" borderId="0" xfId="0" applyNumberFormat="1" applyFont="1" applyAlignment="1">
      <alignment horizontal="center" vertical="center"/>
    </xf>
    <xf numFmtId="10" fontId="12" fillId="2" borderId="9" xfId="1" applyNumberFormat="1" applyFont="1" applyFill="1" applyBorder="1" applyAlignment="1">
      <alignment horizontal="center" vertical="center"/>
    </xf>
    <xf numFmtId="10" fontId="12" fillId="2" borderId="10" xfId="1" applyNumberFormat="1" applyFont="1" applyFill="1" applyBorder="1" applyAlignment="1">
      <alignment horizontal="center" vertical="center"/>
    </xf>
    <xf numFmtId="10" fontId="12" fillId="2" borderId="11" xfId="1" applyNumberFormat="1" applyFont="1" applyFill="1" applyBorder="1" applyAlignment="1">
      <alignment horizontal="center" vertical="center"/>
    </xf>
    <xf numFmtId="10" fontId="12" fillId="2" borderId="12" xfId="1" applyNumberFormat="1" applyFont="1" applyFill="1" applyBorder="1" applyAlignment="1">
      <alignment horizontal="center" vertical="center"/>
    </xf>
    <xf numFmtId="10" fontId="12" fillId="2" borderId="13" xfId="1" applyNumberFormat="1" applyFont="1" applyFill="1" applyBorder="1" applyAlignment="1">
      <alignment horizontal="center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2" fillId="2" borderId="15" xfId="1" applyNumberFormat="1" applyFont="1" applyFill="1" applyBorder="1" applyAlignment="1">
      <alignment horizontal="center" vertical="center"/>
    </xf>
    <xf numFmtId="10" fontId="12" fillId="2" borderId="16" xfId="1" applyNumberFormat="1" applyFont="1" applyFill="1" applyBorder="1" applyAlignment="1">
      <alignment horizontal="center" vertical="center"/>
    </xf>
    <xf numFmtId="10" fontId="12" fillId="2" borderId="17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0" fontId="21" fillId="0" borderId="0" xfId="1" applyNumberFormat="1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177" fontId="12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20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24" fillId="0" borderId="19" xfId="2" applyNumberFormat="1" applyFont="1" applyFill="1" applyBorder="1" applyAlignment="1">
      <alignment vertical="center"/>
    </xf>
    <xf numFmtId="0" fontId="25" fillId="0" borderId="19" xfId="2" applyNumberFormat="1" applyFont="1" applyFill="1" applyBorder="1" applyAlignment="1"/>
    <xf numFmtId="0" fontId="25" fillId="0" borderId="0" xfId="2" applyNumberFormat="1" applyFont="1" applyFill="1" applyBorder="1" applyAlignment="1"/>
    <xf numFmtId="177" fontId="25" fillId="0" borderId="0" xfId="7" applyNumberFormat="1" applyFont="1" applyBorder="1" applyAlignment="1">
      <alignment horizontal="left" vertical="top"/>
    </xf>
    <xf numFmtId="0" fontId="25" fillId="0" borderId="19" xfId="7" applyFont="1" applyBorder="1" applyAlignment="1">
      <alignment horizontal="left" vertical="top"/>
    </xf>
    <xf numFmtId="0" fontId="25" fillId="0" borderId="0" xfId="7" applyFont="1" applyBorder="1" applyAlignment="1">
      <alignment horizontal="left" vertical="top"/>
    </xf>
    <xf numFmtId="0" fontId="25" fillId="0" borderId="20" xfId="7" applyFont="1" applyBorder="1" applyAlignment="1">
      <alignment horizontal="left" vertical="top"/>
    </xf>
    <xf numFmtId="0" fontId="27" fillId="0" borderId="0" xfId="7" applyFont="1" applyBorder="1" applyAlignment="1">
      <alignment horizontal="center" vertical="center" wrapText="1"/>
    </xf>
    <xf numFmtId="0" fontId="28" fillId="0" borderId="0" xfId="7" applyFont="1" applyBorder="1" applyAlignment="1">
      <alignment horizontal="center" vertical="top"/>
    </xf>
    <xf numFmtId="0" fontId="28" fillId="0" borderId="0" xfId="7" applyFont="1" applyBorder="1" applyAlignment="1">
      <alignment horizontal="center" vertical="center"/>
    </xf>
    <xf numFmtId="0" fontId="1" fillId="0" borderId="0" xfId="7" applyBorder="1" applyAlignment="1">
      <alignment vertical="center"/>
    </xf>
    <xf numFmtId="41" fontId="28" fillId="0" borderId="0" xfId="2" applyFont="1" applyFill="1" applyBorder="1" applyAlignment="1">
      <alignment horizontal="right" vertical="center"/>
    </xf>
    <xf numFmtId="177" fontId="28" fillId="0" borderId="0" xfId="7" applyNumberFormat="1" applyFont="1" applyBorder="1" applyAlignment="1">
      <alignment horizontal="center" vertical="center"/>
    </xf>
    <xf numFmtId="0" fontId="28" fillId="0" borderId="21" xfId="7" applyFont="1" applyBorder="1" applyAlignment="1">
      <alignment horizontal="center" vertical="center"/>
    </xf>
    <xf numFmtId="0" fontId="28" fillId="0" borderId="20" xfId="7" applyFont="1" applyBorder="1" applyAlignment="1">
      <alignment vertical="center"/>
    </xf>
    <xf numFmtId="49" fontId="28" fillId="0" borderId="20" xfId="7" applyNumberFormat="1" applyFont="1" applyBorder="1" applyAlignment="1">
      <alignment horizontal="center" vertical="center"/>
    </xf>
    <xf numFmtId="41" fontId="28" fillId="0" borderId="20" xfId="2" applyFont="1" applyBorder="1" applyAlignment="1">
      <alignment horizontal="right" vertical="center"/>
    </xf>
    <xf numFmtId="41" fontId="28" fillId="0" borderId="0" xfId="2" applyFont="1" applyBorder="1" applyAlignment="1">
      <alignment horizontal="right" vertical="center"/>
    </xf>
    <xf numFmtId="0" fontId="28" fillId="0" borderId="20" xfId="7" applyFont="1" applyBorder="1" applyAlignment="1">
      <alignment horizontal="center" vertical="center"/>
    </xf>
    <xf numFmtId="0" fontId="28" fillId="0" borderId="22" xfId="7" applyFont="1" applyBorder="1" applyAlignment="1">
      <alignment vertical="center"/>
    </xf>
    <xf numFmtId="49" fontId="28" fillId="0" borderId="22" xfId="7" applyNumberFormat="1" applyFont="1" applyBorder="1" applyAlignment="1">
      <alignment horizontal="center" vertical="center"/>
    </xf>
    <xf numFmtId="49" fontId="28" fillId="0" borderId="0" xfId="7" applyNumberFormat="1" applyFont="1" applyBorder="1" applyAlignment="1">
      <alignment horizontal="center" vertical="center"/>
    </xf>
    <xf numFmtId="49" fontId="28" fillId="0" borderId="23" xfId="7" applyNumberFormat="1" applyFont="1" applyBorder="1" applyAlignment="1">
      <alignment horizontal="center" vertical="center"/>
    </xf>
    <xf numFmtId="41" fontId="28" fillId="0" borderId="0" xfId="2" applyFont="1" applyBorder="1" applyAlignment="1">
      <alignment horizontal="center" vertical="center"/>
    </xf>
    <xf numFmtId="0" fontId="24" fillId="0" borderId="19" xfId="2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 wrapText="1"/>
    </xf>
    <xf numFmtId="41" fontId="28" fillId="0" borderId="0" xfId="2" applyFont="1" applyFill="1" applyBorder="1" applyAlignment="1">
      <alignment horizontal="center" vertical="center"/>
    </xf>
    <xf numFmtId="0" fontId="28" fillId="0" borderId="0" xfId="7" applyFont="1" applyBorder="1" applyAlignment="1">
      <alignment vertical="center"/>
    </xf>
    <xf numFmtId="49" fontId="0" fillId="0" borderId="0" xfId="0" applyNumberFormat="1">
      <alignment vertical="center"/>
    </xf>
    <xf numFmtId="49" fontId="24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49" fontId="30" fillId="0" borderId="0" xfId="0" applyNumberFormat="1" applyFont="1" applyFill="1">
      <alignment vertical="center"/>
    </xf>
    <xf numFmtId="0" fontId="30" fillId="0" borderId="0" xfId="0" applyFont="1">
      <alignment vertical="center"/>
    </xf>
    <xf numFmtId="0" fontId="10" fillId="0" borderId="25" xfId="2" applyNumberFormat="1" applyFont="1" applyFill="1" applyBorder="1" applyAlignment="1">
      <alignment horizontal="center" vertical="center"/>
    </xf>
    <xf numFmtId="180" fontId="20" fillId="0" borderId="26" xfId="2" applyNumberFormat="1" applyFont="1" applyFill="1" applyBorder="1" applyAlignment="1">
      <alignment horizontal="center" vertical="center"/>
    </xf>
    <xf numFmtId="180" fontId="20" fillId="0" borderId="27" xfId="2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horizontal="center" vertical="center"/>
    </xf>
    <xf numFmtId="49" fontId="2" fillId="0" borderId="0" xfId="7" applyNumberFormat="1" applyFont="1" applyBorder="1" applyAlignment="1">
      <alignment vertical="center"/>
    </xf>
    <xf numFmtId="49" fontId="31" fillId="0" borderId="0" xfId="7" applyNumberFormat="1" applyFont="1" applyBorder="1" applyAlignment="1">
      <alignment horizontal="left" vertical="center"/>
    </xf>
    <xf numFmtId="49" fontId="31" fillId="0" borderId="0" xfId="7" applyNumberFormat="1" applyFont="1" applyBorder="1" applyAlignment="1">
      <alignment vertical="center"/>
    </xf>
    <xf numFmtId="49" fontId="31" fillId="0" borderId="0" xfId="7" applyNumberFormat="1" applyFont="1" applyBorder="1" applyAlignment="1">
      <alignment horizontal="center" vertical="center"/>
    </xf>
    <xf numFmtId="49" fontId="31" fillId="0" borderId="0" xfId="2" applyNumberFormat="1" applyFont="1" applyBorder="1" applyAlignment="1">
      <alignment horizontal="right" vertical="center"/>
    </xf>
    <xf numFmtId="49" fontId="31" fillId="0" borderId="0" xfId="7" applyNumberFormat="1" applyFont="1" applyFill="1" applyBorder="1" applyAlignment="1">
      <alignment horizontal="left" vertical="center"/>
    </xf>
    <xf numFmtId="41" fontId="28" fillId="0" borderId="20" xfId="2" applyFont="1" applyBorder="1" applyAlignment="1">
      <alignment horizontal="center" vertical="center"/>
    </xf>
    <xf numFmtId="0" fontId="32" fillId="0" borderId="0" xfId="0" applyFont="1" applyAlignment="1">
      <alignment horizontal="justify" vertical="center"/>
    </xf>
    <xf numFmtId="49" fontId="33" fillId="0" borderId="0" xfId="7" applyNumberFormat="1" applyFont="1" applyBorder="1" applyAlignment="1">
      <alignment vertical="center"/>
    </xf>
    <xf numFmtId="0" fontId="2" fillId="0" borderId="0" xfId="7" applyFont="1" applyFill="1" applyBorder="1" applyAlignment="1">
      <alignment vertical="center"/>
    </xf>
    <xf numFmtId="41" fontId="2" fillId="0" borderId="0" xfId="2" applyFont="1" applyFill="1" applyBorder="1" applyAlignment="1">
      <alignment horizontal="center" vertical="center"/>
    </xf>
    <xf numFmtId="193" fontId="29" fillId="0" borderId="0" xfId="2" applyNumberFormat="1" applyFont="1" applyFill="1" applyBorder="1" applyAlignment="1">
      <alignment horizontal="center" vertical="center"/>
    </xf>
    <xf numFmtId="193" fontId="29" fillId="0" borderId="0" xfId="2" applyNumberFormat="1" applyFont="1" applyFill="1" applyBorder="1" applyAlignment="1">
      <alignment vertical="center"/>
    </xf>
    <xf numFmtId="194" fontId="29" fillId="0" borderId="0" xfId="7" applyNumberFormat="1" applyFont="1" applyBorder="1" applyAlignment="1">
      <alignment horizontal="center" vertical="center"/>
    </xf>
    <xf numFmtId="49" fontId="30" fillId="0" borderId="0" xfId="7" applyNumberFormat="1" applyFont="1" applyBorder="1" applyAlignment="1">
      <alignment vertical="center"/>
    </xf>
    <xf numFmtId="180" fontId="20" fillId="0" borderId="0" xfId="2" applyNumberFormat="1" applyFont="1">
      <alignment vertical="center"/>
    </xf>
    <xf numFmtId="0" fontId="2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180" fontId="15" fillId="0" borderId="18" xfId="2" applyNumberFormat="1" applyFont="1" applyBorder="1" applyAlignment="1">
      <alignment horizontal="center" vertical="center" wrapText="1"/>
    </xf>
    <xf numFmtId="190" fontId="12" fillId="2" borderId="0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30" fillId="0" borderId="0" xfId="7" applyNumberFormat="1" applyFont="1" applyBorder="1" applyAlignment="1">
      <alignment horizontal="right" vertical="center"/>
    </xf>
    <xf numFmtId="0" fontId="20" fillId="0" borderId="0" xfId="1" applyNumberFormat="1" applyFont="1" applyAlignment="1">
      <alignment horizontal="center" vertical="center"/>
    </xf>
    <xf numFmtId="190" fontId="12" fillId="2" borderId="0" xfId="1" applyNumberFormat="1" applyFont="1" applyFill="1" applyBorder="1" applyAlignment="1">
      <alignment horizontal="center" vertical="center"/>
    </xf>
    <xf numFmtId="0" fontId="33" fillId="0" borderId="0" xfId="7" applyFont="1" applyBorder="1" applyAlignment="1">
      <alignment horizontal="center" vertical="center" wrapText="1"/>
    </xf>
    <xf numFmtId="0" fontId="33" fillId="0" borderId="18" xfId="7" applyFont="1" applyFill="1" applyBorder="1" applyAlignment="1">
      <alignment horizontal="center" vertical="center" wrapText="1"/>
    </xf>
    <xf numFmtId="49" fontId="33" fillId="0" borderId="18" xfId="7" applyNumberFormat="1" applyFont="1" applyFill="1" applyBorder="1" applyAlignment="1">
      <alignment horizontal="center" vertical="center" wrapText="1"/>
    </xf>
    <xf numFmtId="177" fontId="37" fillId="0" borderId="18" xfId="7" applyNumberFormat="1" applyFont="1" applyBorder="1" applyAlignment="1">
      <alignment vertical="center" wrapText="1"/>
    </xf>
    <xf numFmtId="0" fontId="31" fillId="0" borderId="0" xfId="7" applyFont="1" applyBorder="1" applyAlignment="1">
      <alignment horizontal="center" vertical="top" wrapText="1"/>
    </xf>
    <xf numFmtId="0" fontId="28" fillId="0" borderId="0" xfId="7" applyFont="1" applyBorder="1" applyAlignment="1">
      <alignment horizontal="center" vertical="top" wrapText="1"/>
    </xf>
    <xf numFmtId="0" fontId="31" fillId="0" borderId="0" xfId="7" applyFont="1" applyBorder="1" applyAlignment="1">
      <alignment horizontal="center" vertical="center" wrapText="1"/>
    </xf>
    <xf numFmtId="0" fontId="28" fillId="0" borderId="0" xfId="7" applyFont="1" applyBorder="1" applyAlignment="1">
      <alignment horizontal="center" vertical="center" wrapText="1"/>
    </xf>
    <xf numFmtId="0" fontId="31" fillId="2" borderId="31" xfId="7" applyFont="1" applyFill="1" applyBorder="1" applyAlignment="1">
      <alignment horizontal="center" vertical="center" wrapText="1"/>
    </xf>
    <xf numFmtId="0" fontId="31" fillId="2" borderId="18" xfId="7" applyFont="1" applyFill="1" applyBorder="1" applyAlignment="1">
      <alignment vertical="center" wrapText="1"/>
    </xf>
    <xf numFmtId="41" fontId="31" fillId="2" borderId="18" xfId="2" applyFont="1" applyFill="1" applyBorder="1" applyAlignment="1">
      <alignment vertical="center" wrapText="1"/>
    </xf>
    <xf numFmtId="193" fontId="31" fillId="0" borderId="18" xfId="2" applyNumberFormat="1" applyFont="1" applyBorder="1" applyAlignment="1">
      <alignment horizontal="right" vertical="center" wrapText="1"/>
    </xf>
    <xf numFmtId="0" fontId="31" fillId="0" borderId="0" xfId="7" applyFont="1" applyFill="1" applyBorder="1" applyAlignment="1">
      <alignment horizontal="center" vertical="center"/>
    </xf>
    <xf numFmtId="177" fontId="38" fillId="0" borderId="0" xfId="7" applyNumberFormat="1" applyFont="1" applyBorder="1" applyAlignment="1">
      <alignment horizontal="center" vertical="center"/>
    </xf>
    <xf numFmtId="0" fontId="31" fillId="0" borderId="0" xfId="7" applyFont="1" applyBorder="1" applyAlignment="1">
      <alignment horizontal="center" vertical="center"/>
    </xf>
    <xf numFmtId="0" fontId="31" fillId="0" borderId="0" xfId="7" applyFont="1" applyBorder="1" applyAlignment="1">
      <alignment vertical="center"/>
    </xf>
    <xf numFmtId="41" fontId="31" fillId="0" borderId="0" xfId="2" applyFont="1" applyBorder="1" applyAlignment="1">
      <alignment horizontal="right" vertical="center"/>
    </xf>
    <xf numFmtId="177" fontId="31" fillId="0" borderId="0" xfId="7" applyNumberFormat="1" applyFont="1" applyBorder="1" applyAlignment="1">
      <alignment horizontal="center" vertical="center"/>
    </xf>
    <xf numFmtId="0" fontId="31" fillId="2" borderId="18" xfId="7" applyFont="1" applyFill="1" applyBorder="1" applyAlignment="1">
      <alignment horizontal="center" vertical="center" wrapText="1"/>
    </xf>
    <xf numFmtId="194" fontId="37" fillId="0" borderId="18" xfId="7" applyNumberFormat="1" applyFont="1" applyBorder="1" applyAlignment="1">
      <alignment vertical="center" wrapText="1"/>
    </xf>
    <xf numFmtId="0" fontId="23" fillId="0" borderId="0" xfId="2" applyNumberFormat="1" applyFont="1" applyFill="1" applyBorder="1" applyAlignment="1">
      <alignment vertical="center" wrapText="1"/>
    </xf>
    <xf numFmtId="0" fontId="33" fillId="0" borderId="0" xfId="2" applyNumberFormat="1" applyFont="1" applyFill="1" applyBorder="1" applyAlignment="1">
      <alignment vertical="center" wrapText="1"/>
    </xf>
    <xf numFmtId="41" fontId="31" fillId="0" borderId="0" xfId="2" applyFont="1" applyFill="1" applyBorder="1" applyAlignment="1">
      <alignment wrapText="1"/>
    </xf>
    <xf numFmtId="0" fontId="31" fillId="0" borderId="0" xfId="2" applyNumberFormat="1" applyFont="1" applyFill="1" applyBorder="1" applyAlignment="1">
      <alignment wrapText="1"/>
    </xf>
    <xf numFmtId="0" fontId="31" fillId="0" borderId="0" xfId="7" applyFont="1" applyBorder="1" applyAlignment="1">
      <alignment horizontal="left" vertical="top" wrapText="1"/>
    </xf>
    <xf numFmtId="177" fontId="31" fillId="0" borderId="0" xfId="7" applyNumberFormat="1" applyFont="1" applyBorder="1" applyAlignment="1">
      <alignment horizontal="left" vertical="top" wrapText="1"/>
    </xf>
    <xf numFmtId="41" fontId="31" fillId="0" borderId="0" xfId="2" applyFont="1" applyFill="1" applyBorder="1" applyAlignment="1">
      <alignment horizontal="center" vertical="center"/>
    </xf>
    <xf numFmtId="41" fontId="31" fillId="0" borderId="0" xfId="2" applyFont="1" applyFill="1" applyBorder="1" applyAlignment="1">
      <alignment horizontal="right" vertical="center"/>
    </xf>
    <xf numFmtId="41" fontId="31" fillId="0" borderId="0" xfId="2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14" fontId="31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79" fontId="12" fillId="0" borderId="18" xfId="2" applyNumberFormat="1" applyFont="1" applyFill="1" applyBorder="1" applyAlignment="1">
      <alignment horizontal="center" vertical="center" wrapText="1"/>
    </xf>
    <xf numFmtId="177" fontId="12" fillId="0" borderId="18" xfId="0" applyNumberFormat="1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9" fontId="12" fillId="0" borderId="32" xfId="2" applyNumberFormat="1" applyFont="1" applyFill="1" applyBorder="1" applyAlignment="1">
      <alignment horizontal="center" vertical="center" wrapText="1"/>
    </xf>
    <xf numFmtId="179" fontId="12" fillId="0" borderId="0" xfId="2" applyNumberFormat="1" applyFont="1" applyFill="1" applyBorder="1" applyAlignment="1">
      <alignment horizontal="center" vertical="center" wrapText="1"/>
    </xf>
    <xf numFmtId="177" fontId="12" fillId="0" borderId="0" xfId="0" applyNumberFormat="1" applyFont="1" applyBorder="1" applyAlignment="1">
      <alignment vertical="center" wrapText="1"/>
    </xf>
    <xf numFmtId="189" fontId="12" fillId="0" borderId="0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80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89" fontId="21" fillId="0" borderId="0" xfId="0" applyNumberFormat="1" applyFont="1" applyAlignment="1">
      <alignment horizontal="center" vertical="center"/>
    </xf>
    <xf numFmtId="189" fontId="21" fillId="0" borderId="0" xfId="0" applyNumberFormat="1" applyFont="1" applyAlignment="1">
      <alignment horizontal="center" vertical="center" wrapText="1"/>
    </xf>
    <xf numFmtId="189" fontId="12" fillId="0" borderId="18" xfId="0" applyNumberFormat="1" applyFont="1" applyBorder="1" applyAlignment="1">
      <alignment horizontal="center" vertical="center" wrapText="1"/>
    </xf>
    <xf numFmtId="189" fontId="12" fillId="0" borderId="0" xfId="0" applyNumberFormat="1" applyFont="1" applyAlignment="1">
      <alignment horizontal="center" vertical="center" wrapText="1"/>
    </xf>
    <xf numFmtId="189" fontId="11" fillId="0" borderId="0" xfId="0" applyNumberFormat="1" applyFont="1" applyAlignment="1">
      <alignment horizontal="center" vertical="center"/>
    </xf>
    <xf numFmtId="193" fontId="31" fillId="2" borderId="18" xfId="2" applyNumberFormat="1" applyFont="1" applyFill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180" fontId="42" fillId="0" borderId="0" xfId="2" applyNumberFormat="1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180" fontId="6" fillId="0" borderId="0" xfId="2" applyNumberFormat="1" applyFont="1">
      <alignment vertical="center"/>
    </xf>
    <xf numFmtId="49" fontId="31" fillId="0" borderId="0" xfId="7" applyNumberFormat="1" applyFont="1" applyBorder="1" applyAlignment="1">
      <alignment horizontal="right" vertical="center"/>
    </xf>
    <xf numFmtId="189" fontId="31" fillId="0" borderId="0" xfId="7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41" fontId="12" fillId="2" borderId="9" xfId="2" applyNumberFormat="1" applyFont="1" applyFill="1" applyBorder="1">
      <alignment vertical="center"/>
    </xf>
    <xf numFmtId="10" fontId="12" fillId="0" borderId="18" xfId="0" applyNumberFormat="1" applyFont="1" applyFill="1" applyBorder="1" applyAlignment="1">
      <alignment vertical="center"/>
    </xf>
    <xf numFmtId="180" fontId="15" fillId="0" borderId="0" xfId="2" applyNumberFormat="1" applyFont="1">
      <alignment vertical="center"/>
    </xf>
    <xf numFmtId="18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89" fontId="31" fillId="0" borderId="0" xfId="2" applyNumberFormat="1" applyFont="1" applyBorder="1" applyAlignment="1">
      <alignment horizontal="center" vertical="center"/>
    </xf>
    <xf numFmtId="0" fontId="31" fillId="2" borderId="18" xfId="7" applyFont="1" applyFill="1" applyBorder="1" applyAlignment="1">
      <alignment horizontal="center" vertical="center"/>
    </xf>
    <xf numFmtId="9" fontId="31" fillId="2" borderId="18" xfId="7" applyNumberFormat="1" applyFont="1" applyFill="1" applyBorder="1" applyAlignment="1">
      <alignment horizontal="center" vertical="center"/>
    </xf>
    <xf numFmtId="41" fontId="31" fillId="2" borderId="18" xfId="7" applyNumberFormat="1" applyFont="1" applyFill="1" applyBorder="1" applyAlignment="1">
      <alignment horizontal="center" vertical="center"/>
    </xf>
    <xf numFmtId="41" fontId="31" fillId="2" borderId="18" xfId="1" applyNumberFormat="1" applyFont="1" applyFill="1" applyBorder="1" applyAlignment="1">
      <alignment horizontal="center" vertical="center"/>
    </xf>
    <xf numFmtId="179" fontId="31" fillId="0" borderId="18" xfId="7" applyNumberFormat="1" applyFont="1" applyFill="1" applyBorder="1" applyAlignment="1" applyProtection="1">
      <alignment vertical="center"/>
      <protection locked="0"/>
    </xf>
    <xf numFmtId="179" fontId="31" fillId="0" borderId="18" xfId="7" applyNumberFormat="1" applyFont="1" applyBorder="1" applyAlignment="1" applyProtection="1">
      <alignment vertical="center"/>
      <protection locked="0"/>
    </xf>
    <xf numFmtId="180" fontId="31" fillId="0" borderId="18" xfId="7" applyNumberFormat="1" applyFont="1" applyBorder="1" applyAlignment="1" applyProtection="1">
      <alignment vertical="center"/>
      <protection locked="0"/>
    </xf>
    <xf numFmtId="0" fontId="31" fillId="0" borderId="33" xfId="7" applyFont="1" applyBorder="1" applyAlignment="1">
      <alignment horizontal="center" vertical="center"/>
    </xf>
    <xf numFmtId="0" fontId="31" fillId="0" borderId="0" xfId="7" applyFont="1" applyBorder="1" applyAlignment="1">
      <alignment horizontal="center" vertical="top"/>
    </xf>
    <xf numFmtId="0" fontId="31" fillId="0" borderId="34" xfId="7" applyFont="1" applyBorder="1" applyAlignment="1">
      <alignment horizontal="center" vertical="center"/>
    </xf>
    <xf numFmtId="0" fontId="31" fillId="0" borderId="21" xfId="7" applyFont="1" applyFill="1" applyBorder="1" applyAlignment="1">
      <alignment horizontal="center" vertical="center"/>
    </xf>
    <xf numFmtId="0" fontId="31" fillId="0" borderId="20" xfId="7" applyFont="1" applyFill="1" applyBorder="1" applyAlignment="1">
      <alignment vertical="center"/>
    </xf>
    <xf numFmtId="49" fontId="31" fillId="0" borderId="20" xfId="7" applyNumberFormat="1" applyFont="1" applyFill="1" applyBorder="1" applyAlignment="1">
      <alignment horizontal="center" vertical="center"/>
    </xf>
    <xf numFmtId="0" fontId="31" fillId="0" borderId="21" xfId="7" applyFont="1" applyBorder="1" applyAlignment="1">
      <alignment horizontal="center" vertical="center"/>
    </xf>
    <xf numFmtId="0" fontId="31" fillId="0" borderId="20" xfId="7" applyFont="1" applyBorder="1" applyAlignment="1">
      <alignment vertical="center"/>
    </xf>
    <xf numFmtId="49" fontId="31" fillId="0" borderId="20" xfId="7" applyNumberFormat="1" applyFont="1" applyBorder="1" applyAlignment="1">
      <alignment horizontal="center" vertical="center"/>
    </xf>
    <xf numFmtId="9" fontId="31" fillId="2" borderId="18" xfId="1" applyFont="1" applyFill="1" applyBorder="1" applyAlignment="1">
      <alignment horizontal="center" vertical="center"/>
    </xf>
    <xf numFmtId="189" fontId="31" fillId="2" borderId="18" xfId="7" applyNumberFormat="1" applyFont="1" applyFill="1" applyBorder="1" applyAlignment="1" applyProtection="1">
      <alignment horizontal="center" vertical="center"/>
      <protection locked="0"/>
    </xf>
    <xf numFmtId="14" fontId="31" fillId="2" borderId="18" xfId="7" applyNumberFormat="1" applyFont="1" applyFill="1" applyBorder="1" applyAlignment="1" applyProtection="1">
      <alignment vertical="center"/>
      <protection locked="0"/>
    </xf>
    <xf numFmtId="197" fontId="31" fillId="2" borderId="18" xfId="2" applyNumberFormat="1" applyFont="1" applyFill="1" applyBorder="1" applyAlignment="1">
      <alignment vertical="center"/>
    </xf>
    <xf numFmtId="197" fontId="31" fillId="2" borderId="18" xfId="2" applyNumberFormat="1" applyFont="1" applyFill="1" applyBorder="1" applyAlignment="1">
      <alignment horizontal="center" vertical="center"/>
    </xf>
    <xf numFmtId="189" fontId="31" fillId="2" borderId="18" xfId="7" applyNumberFormat="1" applyFont="1" applyFill="1" applyBorder="1" applyAlignment="1" applyProtection="1">
      <alignment vertical="center"/>
      <protection locked="0"/>
    </xf>
    <xf numFmtId="41" fontId="31" fillId="0" borderId="20" xfId="2" applyFont="1" applyBorder="1" applyAlignment="1">
      <alignment horizontal="right" vertical="center"/>
    </xf>
    <xf numFmtId="0" fontId="36" fillId="0" borderId="18" xfId="0" applyFont="1" applyFill="1" applyBorder="1" applyAlignment="1">
      <alignment horizontal="center" vertical="center" wrapText="1"/>
    </xf>
    <xf numFmtId="0" fontId="25" fillId="0" borderId="0" xfId="2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31" fillId="0" borderId="22" xfId="7" applyFont="1" applyBorder="1" applyAlignment="1">
      <alignment horizontal="center" vertical="center"/>
    </xf>
    <xf numFmtId="0" fontId="28" fillId="0" borderId="22" xfId="7" applyFont="1" applyBorder="1" applyAlignment="1">
      <alignment horizontal="center" vertical="center"/>
    </xf>
    <xf numFmtId="0" fontId="31" fillId="0" borderId="22" xfId="7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9" fontId="12" fillId="0" borderId="35" xfId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9" fontId="12" fillId="0" borderId="37" xfId="1" applyFont="1" applyFill="1" applyBorder="1" applyAlignment="1">
      <alignment horizontal="center" vertical="center"/>
    </xf>
    <xf numFmtId="9" fontId="12" fillId="0" borderId="38" xfId="1" applyFont="1" applyFill="1" applyBorder="1" applyAlignment="1">
      <alignment horizontal="center" vertical="center"/>
    </xf>
    <xf numFmtId="180" fontId="12" fillId="0" borderId="35" xfId="2" applyNumberFormat="1" applyFont="1" applyFill="1" applyBorder="1">
      <alignment vertical="center"/>
    </xf>
    <xf numFmtId="41" fontId="12" fillId="2" borderId="39" xfId="2" applyFont="1" applyFill="1" applyBorder="1">
      <alignment vertical="center"/>
    </xf>
    <xf numFmtId="41" fontId="12" fillId="2" borderId="40" xfId="2" applyFont="1" applyFill="1" applyBorder="1">
      <alignment vertical="center"/>
    </xf>
    <xf numFmtId="0" fontId="12" fillId="0" borderId="41" xfId="0" applyFont="1" applyFill="1" applyBorder="1">
      <alignment vertical="center"/>
    </xf>
    <xf numFmtId="180" fontId="12" fillId="0" borderId="41" xfId="2" applyNumberFormat="1" applyFont="1" applyFill="1" applyBorder="1">
      <alignment vertical="center"/>
    </xf>
    <xf numFmtId="41" fontId="12" fillId="2" borderId="42" xfId="2" applyFont="1" applyFill="1" applyBorder="1">
      <alignment vertical="center"/>
    </xf>
    <xf numFmtId="41" fontId="12" fillId="2" borderId="43" xfId="2" applyFont="1" applyFill="1" applyBorder="1">
      <alignment vertical="center"/>
    </xf>
    <xf numFmtId="0" fontId="12" fillId="0" borderId="44" xfId="0" applyFont="1" applyFill="1" applyBorder="1">
      <alignment vertical="center"/>
    </xf>
    <xf numFmtId="180" fontId="12" fillId="0" borderId="44" xfId="2" applyNumberFormat="1" applyFont="1" applyFill="1" applyBorder="1">
      <alignment vertical="center"/>
    </xf>
    <xf numFmtId="10" fontId="12" fillId="2" borderId="45" xfId="1" applyNumberFormat="1" applyFont="1" applyFill="1" applyBorder="1" applyAlignment="1">
      <alignment horizontal="center" vertical="center"/>
    </xf>
    <xf numFmtId="10" fontId="12" fillId="2" borderId="46" xfId="1" applyNumberFormat="1" applyFont="1" applyFill="1" applyBorder="1" applyAlignment="1">
      <alignment horizontal="center" vertical="center"/>
    </xf>
    <xf numFmtId="10" fontId="12" fillId="2" borderId="47" xfId="1" applyNumberFormat="1" applyFont="1" applyFill="1" applyBorder="1" applyAlignment="1">
      <alignment horizontal="center" vertical="center"/>
    </xf>
    <xf numFmtId="10" fontId="12" fillId="2" borderId="48" xfId="1" applyNumberFormat="1" applyFont="1" applyFill="1" applyBorder="1" applyAlignment="1">
      <alignment horizontal="center" vertical="center"/>
    </xf>
    <xf numFmtId="10" fontId="12" fillId="2" borderId="49" xfId="1" applyNumberFormat="1" applyFont="1" applyFill="1" applyBorder="1" applyAlignment="1">
      <alignment horizontal="center" vertical="center"/>
    </xf>
    <xf numFmtId="10" fontId="12" fillId="2" borderId="50" xfId="1" applyNumberFormat="1" applyFont="1" applyFill="1" applyBorder="1" applyAlignment="1">
      <alignment horizontal="center" vertical="center"/>
    </xf>
    <xf numFmtId="198" fontId="12" fillId="0" borderId="51" xfId="2" applyNumberFormat="1" applyFont="1" applyFill="1" applyBorder="1">
      <alignment vertical="center"/>
    </xf>
    <xf numFmtId="188" fontId="12" fillId="0" borderId="52" xfId="2" applyNumberFormat="1" applyFont="1" applyFill="1" applyBorder="1">
      <alignment vertical="center"/>
    </xf>
    <xf numFmtId="198" fontId="12" fillId="0" borderId="53" xfId="2" applyNumberFormat="1" applyFont="1" applyFill="1" applyBorder="1">
      <alignment vertical="center"/>
    </xf>
    <xf numFmtId="188" fontId="12" fillId="0" borderId="54" xfId="2" applyNumberFormat="1" applyFont="1" applyFill="1" applyBorder="1">
      <alignment vertical="center"/>
    </xf>
    <xf numFmtId="180" fontId="12" fillId="0" borderId="55" xfId="2" applyNumberFormat="1" applyFont="1" applyFill="1" applyBorder="1">
      <alignment vertical="center"/>
    </xf>
    <xf numFmtId="9" fontId="12" fillId="0" borderId="56" xfId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>
      <alignment vertical="center"/>
    </xf>
    <xf numFmtId="0" fontId="18" fillId="0" borderId="18" xfId="0" applyFont="1" applyFill="1" applyBorder="1" applyAlignment="1">
      <alignment horizontal="center" vertical="center"/>
    </xf>
    <xf numFmtId="9" fontId="18" fillId="2" borderId="18" xfId="1" applyFont="1" applyFill="1" applyBorder="1" applyAlignment="1">
      <alignment horizontal="center" vertical="center"/>
    </xf>
    <xf numFmtId="9" fontId="18" fillId="0" borderId="18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0" fillId="0" borderId="57" xfId="2" applyNumberFormat="1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vertical="center"/>
    </xf>
    <xf numFmtId="0" fontId="24" fillId="0" borderId="0" xfId="2" applyNumberFormat="1" applyFont="1" applyFill="1" applyBorder="1" applyAlignment="1">
      <alignment horizontal="center" vertical="center"/>
    </xf>
    <xf numFmtId="49" fontId="31" fillId="0" borderId="0" xfId="2" applyNumberFormat="1" applyFont="1" applyBorder="1" applyAlignment="1">
      <alignment horizontal="center" vertical="center"/>
    </xf>
    <xf numFmtId="199" fontId="15" fillId="3" borderId="3" xfId="2" applyNumberFormat="1" applyFont="1" applyFill="1" applyBorder="1" applyAlignment="1">
      <alignment horizontal="center" vertical="center" wrapText="1"/>
    </xf>
    <xf numFmtId="200" fontId="15" fillId="3" borderId="3" xfId="2" applyNumberFormat="1" applyFont="1" applyFill="1" applyBorder="1" applyAlignment="1">
      <alignment horizontal="center" vertical="center" wrapText="1"/>
    </xf>
    <xf numFmtId="0" fontId="24" fillId="2" borderId="0" xfId="2" applyNumberFormat="1" applyFont="1" applyFill="1" applyBorder="1" applyAlignment="1">
      <alignment horizontal="center" vertical="center"/>
    </xf>
    <xf numFmtId="0" fontId="31" fillId="0" borderId="28" xfId="7" applyFont="1" applyFill="1" applyBorder="1" applyAlignment="1">
      <alignment vertical="center" wrapText="1"/>
    </xf>
    <xf numFmtId="0" fontId="31" fillId="0" borderId="58" xfId="7" applyFont="1" applyFill="1" applyBorder="1" applyAlignment="1">
      <alignment vertical="center" wrapText="1"/>
    </xf>
    <xf numFmtId="0" fontId="24" fillId="0" borderId="19" xfId="2" applyNumberFormat="1" applyFont="1" applyFill="1" applyBorder="1" applyAlignment="1">
      <alignment horizontal="left" vertical="center"/>
    </xf>
    <xf numFmtId="0" fontId="10" fillId="0" borderId="59" xfId="0" applyFont="1" applyBorder="1" applyAlignment="1">
      <alignment vertical="center"/>
    </xf>
    <xf numFmtId="0" fontId="10" fillId="0" borderId="59" xfId="0" applyFont="1" applyBorder="1" applyAlignment="1">
      <alignment vertical="center" wrapText="1"/>
    </xf>
    <xf numFmtId="189" fontId="31" fillId="0" borderId="18" xfId="7" applyNumberFormat="1" applyFont="1" applyFill="1" applyBorder="1" applyAlignment="1" applyProtection="1">
      <alignment horizontal="center" vertical="center" wrapText="1"/>
      <protection locked="0"/>
    </xf>
    <xf numFmtId="180" fontId="11" fillId="0" borderId="0" xfId="2" applyNumberFormat="1" applyFont="1" applyBorder="1" applyAlignment="1">
      <alignment horizontal="center" vertical="center"/>
    </xf>
    <xf numFmtId="43" fontId="11" fillId="0" borderId="0" xfId="0" applyNumberFormat="1" applyFont="1" applyBorder="1">
      <alignment vertical="center"/>
    </xf>
    <xf numFmtId="43" fontId="11" fillId="0" borderId="0" xfId="0" applyNumberFormat="1" applyFont="1" applyBorder="1" applyAlignment="1">
      <alignment vertical="center" wrapText="1"/>
    </xf>
    <xf numFmtId="43" fontId="44" fillId="0" borderId="0" xfId="0" applyNumberFormat="1" applyFont="1" applyFill="1" applyBorder="1">
      <alignment vertical="center"/>
    </xf>
    <xf numFmtId="43" fontId="44" fillId="0" borderId="0" xfId="0" applyNumberFormat="1" applyFont="1" applyFill="1" applyBorder="1" applyAlignment="1">
      <alignment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64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0" fontId="28" fillId="0" borderId="65" xfId="7" applyFont="1" applyBorder="1" applyAlignment="1">
      <alignment horizontal="center" vertical="top" wrapText="1"/>
    </xf>
    <xf numFmtId="0" fontId="28" fillId="0" borderId="66" xfId="7" applyFont="1" applyBorder="1" applyAlignment="1">
      <alignment horizontal="center" vertical="center" wrapText="1"/>
    </xf>
    <xf numFmtId="177" fontId="38" fillId="5" borderId="64" xfId="2" applyNumberFormat="1" applyFont="1" applyFill="1" applyBorder="1" applyAlignment="1">
      <alignment vertical="center" wrapText="1"/>
    </xf>
    <xf numFmtId="177" fontId="39" fillId="5" borderId="18" xfId="7" applyNumberFormat="1" applyFont="1" applyFill="1" applyBorder="1" applyAlignment="1">
      <alignment vertical="center" wrapText="1"/>
    </xf>
    <xf numFmtId="202" fontId="16" fillId="5" borderId="18" xfId="2" applyNumberFormat="1" applyFont="1" applyFill="1" applyBorder="1" applyAlignment="1">
      <alignment horizontal="center" vertical="center" wrapText="1"/>
    </xf>
    <xf numFmtId="203" fontId="15" fillId="3" borderId="46" xfId="2" applyNumberFormat="1" applyFont="1" applyFill="1" applyBorder="1" applyAlignment="1">
      <alignment horizontal="center" vertical="center" wrapText="1"/>
    </xf>
    <xf numFmtId="203" fontId="15" fillId="3" borderId="3" xfId="2" applyNumberFormat="1" applyFont="1" applyFill="1" applyBorder="1" applyAlignment="1">
      <alignment horizontal="center" vertical="center" wrapText="1"/>
    </xf>
    <xf numFmtId="177" fontId="46" fillId="4" borderId="67" xfId="0" applyNumberFormat="1" applyFont="1" applyFill="1" applyBorder="1" applyAlignment="1">
      <alignment horizontal="center" vertical="center" wrapText="1"/>
    </xf>
    <xf numFmtId="0" fontId="46" fillId="4" borderId="68" xfId="0" applyFont="1" applyFill="1" applyBorder="1" applyAlignment="1">
      <alignment horizontal="center" vertical="center" wrapText="1"/>
    </xf>
    <xf numFmtId="0" fontId="46" fillId="4" borderId="69" xfId="0" applyFont="1" applyFill="1" applyBorder="1" applyAlignment="1">
      <alignment horizontal="center" vertical="center" wrapText="1"/>
    </xf>
    <xf numFmtId="180" fontId="15" fillId="3" borderId="0" xfId="2" applyNumberFormat="1" applyFont="1" applyFill="1" applyAlignment="1">
      <alignment horizontal="center" vertical="center" wrapText="1"/>
    </xf>
    <xf numFmtId="180" fontId="15" fillId="3" borderId="8" xfId="2" applyNumberFormat="1" applyFont="1" applyFill="1" applyBorder="1" applyAlignment="1">
      <alignment horizontal="center" vertical="center" wrapText="1"/>
    </xf>
    <xf numFmtId="41" fontId="16" fillId="0" borderId="70" xfId="2" applyFont="1" applyBorder="1" applyAlignment="1">
      <alignment horizontal="center" vertical="center" wrapText="1"/>
    </xf>
    <xf numFmtId="180" fontId="16" fillId="0" borderId="70" xfId="2" applyNumberFormat="1" applyFont="1" applyBorder="1" applyAlignment="1">
      <alignment horizontal="center" vertical="center" wrapText="1"/>
    </xf>
    <xf numFmtId="180" fontId="16" fillId="0" borderId="71" xfId="2" applyNumberFormat="1" applyFont="1" applyBorder="1" applyAlignment="1">
      <alignment horizontal="center" vertical="center" wrapText="1"/>
    </xf>
    <xf numFmtId="180" fontId="16" fillId="0" borderId="72" xfId="2" applyNumberFormat="1" applyFont="1" applyBorder="1" applyAlignment="1">
      <alignment horizontal="center" vertical="center" wrapText="1"/>
    </xf>
    <xf numFmtId="180" fontId="16" fillId="0" borderId="73" xfId="2" applyNumberFormat="1" applyFont="1" applyBorder="1" applyAlignment="1">
      <alignment horizontal="center" vertical="center" wrapText="1"/>
    </xf>
    <xf numFmtId="180" fontId="16" fillId="0" borderId="74" xfId="2" applyNumberFormat="1" applyFont="1" applyBorder="1" applyAlignment="1">
      <alignment horizontal="center" vertical="center" wrapText="1"/>
    </xf>
    <xf numFmtId="180" fontId="15" fillId="3" borderId="75" xfId="2" applyNumberFormat="1" applyFont="1" applyFill="1" applyBorder="1" applyAlignment="1">
      <alignment horizontal="center" vertical="center" wrapText="1"/>
    </xf>
    <xf numFmtId="180" fontId="15" fillId="3" borderId="76" xfId="2" applyNumberFormat="1" applyFont="1" applyFill="1" applyBorder="1" applyAlignment="1">
      <alignment horizontal="center" vertical="center" wrapText="1"/>
    </xf>
    <xf numFmtId="10" fontId="17" fillId="4" borderId="3" xfId="1" applyNumberFormat="1" applyFont="1" applyFill="1" applyBorder="1" applyAlignment="1">
      <alignment horizontal="center" vertical="center" wrapText="1"/>
    </xf>
    <xf numFmtId="10" fontId="17" fillId="4" borderId="77" xfId="1" applyNumberFormat="1" applyFont="1" applyFill="1" applyBorder="1" applyAlignment="1">
      <alignment horizontal="center" vertical="center" wrapText="1"/>
    </xf>
    <xf numFmtId="203" fontId="15" fillId="3" borderId="78" xfId="2" applyNumberFormat="1" applyFont="1" applyFill="1" applyBorder="1" applyAlignment="1">
      <alignment horizontal="center" vertical="center" wrapText="1"/>
    </xf>
    <xf numFmtId="180" fontId="15" fillId="3" borderId="18" xfId="2" applyNumberFormat="1" applyFont="1" applyFill="1" applyBorder="1" applyAlignment="1">
      <alignment horizontal="center" vertical="center" wrapText="1"/>
    </xf>
    <xf numFmtId="180" fontId="15" fillId="3" borderId="31" xfId="2" applyNumberFormat="1" applyFont="1" applyFill="1" applyBorder="1" applyAlignment="1">
      <alignment horizontal="center" vertical="center" wrapText="1"/>
    </xf>
    <xf numFmtId="180" fontId="15" fillId="3" borderId="79" xfId="2" applyNumberFormat="1" applyFont="1" applyFill="1" applyBorder="1" applyAlignment="1">
      <alignment horizontal="center" vertical="center" wrapText="1"/>
    </xf>
    <xf numFmtId="180" fontId="15" fillId="4" borderId="70" xfId="2" applyNumberFormat="1" applyFont="1" applyFill="1" applyBorder="1" applyAlignment="1">
      <alignment horizontal="center" vertical="center" wrapText="1"/>
    </xf>
    <xf numFmtId="203" fontId="15" fillId="3" borderId="80" xfId="2" applyNumberFormat="1" applyFont="1" applyFill="1" applyBorder="1" applyAlignment="1">
      <alignment horizontal="center" vertical="center" wrapText="1"/>
    </xf>
    <xf numFmtId="201" fontId="15" fillId="0" borderId="81" xfId="2" applyNumberFormat="1" applyFont="1" applyBorder="1" applyAlignment="1">
      <alignment horizontal="center" vertical="center" wrapText="1"/>
    </xf>
    <xf numFmtId="10" fontId="6" fillId="5" borderId="20" xfId="1" applyNumberFormat="1" applyFont="1" applyFill="1" applyBorder="1" applyAlignment="1">
      <alignment horizontal="center" vertical="center" wrapText="1"/>
    </xf>
    <xf numFmtId="202" fontId="46" fillId="4" borderId="2" xfId="2" applyNumberFormat="1" applyFont="1" applyFill="1" applyBorder="1" applyAlignment="1">
      <alignment horizontal="center" vertical="center" wrapText="1"/>
    </xf>
    <xf numFmtId="201" fontId="17" fillId="4" borderId="82" xfId="2" applyNumberFormat="1" applyFont="1" applyFill="1" applyBorder="1" applyAlignment="1">
      <alignment horizontal="center" vertical="center" wrapText="1"/>
    </xf>
    <xf numFmtId="202" fontId="17" fillId="4" borderId="82" xfId="2" applyNumberFormat="1" applyFont="1" applyFill="1" applyBorder="1" applyAlignment="1">
      <alignment horizontal="center" vertical="center" wrapText="1"/>
    </xf>
    <xf numFmtId="180" fontId="6" fillId="0" borderId="0" xfId="2" quotePrefix="1" applyNumberFormat="1" applyFont="1" applyAlignment="1">
      <alignment horizontal="center" vertical="center" wrapText="1"/>
    </xf>
    <xf numFmtId="9" fontId="15" fillId="4" borderId="4" xfId="1" applyFont="1" applyFill="1" applyBorder="1" applyAlignment="1">
      <alignment horizontal="center" vertical="center" wrapText="1"/>
    </xf>
    <xf numFmtId="177" fontId="46" fillId="4" borderId="18" xfId="0" applyNumberFormat="1" applyFont="1" applyFill="1" applyBorder="1" applyAlignment="1">
      <alignment horizontal="center" vertical="center" wrapText="1"/>
    </xf>
    <xf numFmtId="204" fontId="15" fillId="4" borderId="3" xfId="2" applyNumberFormat="1" applyFont="1" applyFill="1" applyBorder="1" applyAlignment="1">
      <alignment horizontal="center" vertical="center" wrapText="1"/>
    </xf>
    <xf numFmtId="185" fontId="15" fillId="3" borderId="3" xfId="2" applyNumberFormat="1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4" borderId="8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9" fontId="12" fillId="4" borderId="86" xfId="1" applyFont="1" applyFill="1" applyBorder="1" applyAlignment="1">
      <alignment horizontal="center" vertical="center"/>
    </xf>
    <xf numFmtId="0" fontId="12" fillId="4" borderId="87" xfId="0" applyFont="1" applyFill="1" applyBorder="1" applyAlignment="1">
      <alignment horizontal="center" vertical="center" wrapText="1"/>
    </xf>
    <xf numFmtId="0" fontId="12" fillId="4" borderId="88" xfId="0" applyFont="1" applyFill="1" applyBorder="1" applyAlignment="1">
      <alignment horizontal="center" vertical="center" wrapText="1"/>
    </xf>
    <xf numFmtId="0" fontId="12" fillId="4" borderId="89" xfId="0" applyFont="1" applyFill="1" applyBorder="1" applyAlignment="1">
      <alignment horizontal="center" vertical="center" wrapText="1"/>
    </xf>
    <xf numFmtId="180" fontId="12" fillId="4" borderId="89" xfId="2" applyNumberFormat="1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 wrapText="1"/>
    </xf>
    <xf numFmtId="0" fontId="20" fillId="4" borderId="81" xfId="0" applyFont="1" applyFill="1" applyBorder="1" applyAlignment="1">
      <alignment horizontal="center" vertical="center" wrapText="1"/>
    </xf>
    <xf numFmtId="0" fontId="20" fillId="4" borderId="91" xfId="0" applyFont="1" applyFill="1" applyBorder="1" applyAlignment="1">
      <alignment horizontal="center" vertical="center" wrapText="1"/>
    </xf>
    <xf numFmtId="0" fontId="20" fillId="4" borderId="92" xfId="0" applyFont="1" applyFill="1" applyBorder="1" applyAlignment="1">
      <alignment horizontal="center" vertical="center" wrapText="1"/>
    </xf>
    <xf numFmtId="0" fontId="20" fillId="4" borderId="93" xfId="0" applyFont="1" applyFill="1" applyBorder="1" applyAlignment="1">
      <alignment horizontal="center" vertical="center" wrapText="1"/>
    </xf>
    <xf numFmtId="0" fontId="20" fillId="4" borderId="94" xfId="0" applyFont="1" applyFill="1" applyBorder="1" applyAlignment="1">
      <alignment horizontal="center" vertical="center" wrapText="1"/>
    </xf>
    <xf numFmtId="0" fontId="20" fillId="4" borderId="70" xfId="0" applyFont="1" applyFill="1" applyBorder="1" applyAlignment="1">
      <alignment horizontal="center" vertical="center" wrapText="1"/>
    </xf>
    <xf numFmtId="0" fontId="20" fillId="4" borderId="95" xfId="0" applyFont="1" applyFill="1" applyBorder="1" applyAlignment="1">
      <alignment horizontal="center" vertical="center" wrapText="1"/>
    </xf>
    <xf numFmtId="0" fontId="20" fillId="4" borderId="96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12" fillId="4" borderId="97" xfId="0" applyFont="1" applyFill="1" applyBorder="1" applyAlignment="1">
      <alignment horizontal="center" vertical="center"/>
    </xf>
    <xf numFmtId="0" fontId="12" fillId="4" borderId="9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45" fillId="0" borderId="84" xfId="0" applyFont="1" applyFill="1" applyBorder="1" applyAlignment="1">
      <alignment horizontal="center" vertical="center"/>
    </xf>
    <xf numFmtId="0" fontId="45" fillId="0" borderId="63" xfId="0" applyFont="1" applyFill="1" applyBorder="1" applyAlignment="1">
      <alignment horizontal="center" vertical="center"/>
    </xf>
    <xf numFmtId="0" fontId="45" fillId="0" borderId="101" xfId="0" applyFont="1" applyFill="1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 wrapText="1"/>
    </xf>
    <xf numFmtId="0" fontId="50" fillId="0" borderId="31" xfId="0" applyFont="1" applyFill="1" applyBorder="1" applyAlignment="1">
      <alignment horizontal="center" vertical="center"/>
    </xf>
    <xf numFmtId="0" fontId="48" fillId="0" borderId="102" xfId="0" applyFont="1" applyFill="1" applyBorder="1" applyAlignment="1">
      <alignment horizontal="center" vertical="center" wrapText="1"/>
    </xf>
    <xf numFmtId="0" fontId="45" fillId="0" borderId="103" xfId="0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45" fillId="0" borderId="104" xfId="0" applyFont="1" applyBorder="1" applyAlignment="1">
      <alignment horizontal="center" vertical="center"/>
    </xf>
    <xf numFmtId="0" fontId="48" fillId="0" borderId="0" xfId="0" applyFont="1" applyBorder="1" applyAlignment="1">
      <alignment horizontal="justify" vertical="center" wrapText="1"/>
    </xf>
    <xf numFmtId="0" fontId="45" fillId="0" borderId="0" xfId="0" applyFont="1">
      <alignment vertical="center"/>
    </xf>
    <xf numFmtId="0" fontId="52" fillId="0" borderId="0" xfId="0" applyFont="1">
      <alignment vertical="center"/>
    </xf>
    <xf numFmtId="0" fontId="53" fillId="0" borderId="105" xfId="0" applyFont="1" applyBorder="1" applyAlignment="1">
      <alignment horizontal="center" vertical="center"/>
    </xf>
    <xf numFmtId="0" fontId="53" fillId="0" borderId="106" xfId="0" applyFont="1" applyBorder="1" applyAlignment="1">
      <alignment horizontal="center" vertical="center"/>
    </xf>
    <xf numFmtId="0" fontId="53" fillId="0" borderId="85" xfId="0" applyFont="1" applyBorder="1" applyAlignment="1">
      <alignment horizontal="center" vertical="center"/>
    </xf>
    <xf numFmtId="0" fontId="53" fillId="0" borderId="104" xfId="0" applyFont="1" applyBorder="1" applyAlignment="1">
      <alignment horizontal="center" vertical="center"/>
    </xf>
    <xf numFmtId="0" fontId="54" fillId="0" borderId="107" xfId="0" applyFont="1" applyBorder="1" applyAlignment="1">
      <alignment horizontal="center" vertical="center" wrapText="1"/>
    </xf>
    <xf numFmtId="0" fontId="54" fillId="0" borderId="108" xfId="0" applyFont="1" applyBorder="1" applyAlignment="1">
      <alignment vertical="center" wrapText="1"/>
    </xf>
    <xf numFmtId="0" fontId="54" fillId="0" borderId="109" xfId="0" applyFont="1" applyBorder="1" applyAlignment="1">
      <alignment vertical="center" wrapText="1"/>
    </xf>
    <xf numFmtId="0" fontId="55" fillId="0" borderId="110" xfId="0" applyFont="1" applyBorder="1" applyAlignment="1">
      <alignment horizontal="justify" vertical="center" wrapText="1"/>
    </xf>
    <xf numFmtId="0" fontId="43" fillId="4" borderId="111" xfId="0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/>
    </xf>
    <xf numFmtId="0" fontId="28" fillId="0" borderId="0" xfId="7" applyFont="1" applyFill="1" applyBorder="1" applyAlignment="1">
      <alignment horizontal="center" vertical="top"/>
    </xf>
    <xf numFmtId="0" fontId="33" fillId="4" borderId="85" xfId="7" applyFont="1" applyFill="1" applyBorder="1" applyAlignment="1">
      <alignment horizontal="center" vertical="center" wrapText="1"/>
    </xf>
    <xf numFmtId="0" fontId="33" fillId="4" borderId="112" xfId="7" applyFont="1" applyFill="1" applyBorder="1" applyAlignment="1">
      <alignment horizontal="center" vertical="center" wrapText="1"/>
    </xf>
    <xf numFmtId="0" fontId="33" fillId="4" borderId="63" xfId="7" applyFont="1" applyFill="1" applyBorder="1" applyAlignment="1">
      <alignment horizontal="center" vertical="center" wrapText="1"/>
    </xf>
    <xf numFmtId="0" fontId="33" fillId="4" borderId="113" xfId="7" applyFont="1" applyFill="1" applyBorder="1" applyAlignment="1">
      <alignment horizontal="center" vertical="center" wrapText="1"/>
    </xf>
    <xf numFmtId="49" fontId="33" fillId="4" borderId="113" xfId="7" applyNumberFormat="1" applyFont="1" applyFill="1" applyBorder="1" applyAlignment="1">
      <alignment horizontal="center" vertical="center" wrapText="1"/>
    </xf>
    <xf numFmtId="0" fontId="33" fillId="4" borderId="104" xfId="7" applyFont="1" applyFill="1" applyBorder="1" applyAlignment="1">
      <alignment horizontal="center" vertical="center" wrapText="1"/>
    </xf>
    <xf numFmtId="0" fontId="33" fillId="4" borderId="103" xfId="7" applyFont="1" applyFill="1" applyBorder="1" applyAlignment="1">
      <alignment horizontal="center" vertical="center" wrapText="1"/>
    </xf>
    <xf numFmtId="180" fontId="15" fillId="0" borderId="78" xfId="2" applyNumberFormat="1" applyFont="1" applyBorder="1" applyAlignment="1">
      <alignment horizontal="center" vertical="center" wrapText="1"/>
    </xf>
    <xf numFmtId="0" fontId="16" fillId="0" borderId="78" xfId="2" applyNumberFormat="1" applyFont="1" applyBorder="1" applyAlignment="1">
      <alignment horizontal="center" vertical="center" wrapText="1"/>
    </xf>
    <xf numFmtId="180" fontId="15" fillId="0" borderId="78" xfId="2" applyNumberFormat="1" applyFont="1" applyFill="1" applyBorder="1" applyAlignment="1">
      <alignment horizontal="center" vertical="center" wrapText="1"/>
    </xf>
    <xf numFmtId="176" fontId="15" fillId="4" borderId="78" xfId="2" applyNumberFormat="1" applyFont="1" applyFill="1" applyBorder="1" applyAlignment="1">
      <alignment horizontal="center" vertical="center" wrapText="1"/>
    </xf>
    <xf numFmtId="180" fontId="16" fillId="0" borderId="114" xfId="2" applyNumberFormat="1" applyFont="1" applyBorder="1" applyAlignment="1">
      <alignment horizontal="center" vertical="center" wrapText="1"/>
    </xf>
    <xf numFmtId="49" fontId="31" fillId="0" borderId="0" xfId="7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15" fillId="4" borderId="3" xfId="1" applyNumberFormat="1" applyFont="1" applyFill="1" applyBorder="1" applyAlignment="1">
      <alignment horizontal="center" vertical="center" wrapText="1"/>
    </xf>
    <xf numFmtId="180" fontId="15" fillId="0" borderId="2" xfId="2" applyNumberFormat="1" applyFont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/>
    </xf>
    <xf numFmtId="180" fontId="15" fillId="0" borderId="3" xfId="2" quotePrefix="1" applyNumberFormat="1" applyFont="1" applyBorder="1" applyAlignment="1">
      <alignment horizontal="center" vertical="center" wrapText="1"/>
    </xf>
    <xf numFmtId="9" fontId="15" fillId="4" borderId="3" xfId="1" quotePrefix="1" applyFont="1" applyFill="1" applyBorder="1" applyAlignment="1">
      <alignment horizontal="center" vertical="center" wrapText="1"/>
    </xf>
    <xf numFmtId="180" fontId="20" fillId="0" borderId="115" xfId="2" applyNumberFormat="1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99" xfId="0" applyFont="1" applyFill="1" applyBorder="1" applyAlignment="1">
      <alignment horizontal="center" vertical="center" wrapText="1"/>
    </xf>
    <xf numFmtId="0" fontId="12" fillId="4" borderId="116" xfId="0" applyFont="1" applyFill="1" applyBorder="1" applyAlignment="1">
      <alignment horizontal="center" vertical="center" wrapText="1"/>
    </xf>
    <xf numFmtId="9" fontId="12" fillId="2" borderId="59" xfId="1" applyFont="1" applyFill="1" applyBorder="1">
      <alignment vertical="center"/>
    </xf>
    <xf numFmtId="0" fontId="12" fillId="4" borderId="114" xfId="0" applyFont="1" applyFill="1" applyBorder="1" applyAlignment="1">
      <alignment horizontal="center" vertical="center" wrapText="1"/>
    </xf>
    <xf numFmtId="0" fontId="12" fillId="4" borderId="117" xfId="0" applyFont="1" applyFill="1" applyBorder="1" applyAlignment="1">
      <alignment horizontal="center" vertical="center" wrapText="1"/>
    </xf>
    <xf numFmtId="9" fontId="12" fillId="2" borderId="118" xfId="1" applyFont="1" applyFill="1" applyBorder="1">
      <alignment vertical="center"/>
    </xf>
    <xf numFmtId="0" fontId="12" fillId="4" borderId="18" xfId="0" applyFont="1" applyFill="1" applyBorder="1" applyAlignment="1">
      <alignment horizontal="center" vertical="center"/>
    </xf>
    <xf numFmtId="0" fontId="12" fillId="0" borderId="119" xfId="0" applyFont="1" applyFill="1" applyBorder="1" applyAlignment="1">
      <alignment horizontal="center" vertical="center"/>
    </xf>
    <xf numFmtId="0" fontId="12" fillId="2" borderId="119" xfId="0" applyFont="1" applyFill="1" applyBorder="1" applyAlignment="1">
      <alignment horizontal="center" vertical="center"/>
    </xf>
    <xf numFmtId="191" fontId="12" fillId="2" borderId="120" xfId="0" applyNumberFormat="1" applyFont="1" applyFill="1" applyBorder="1" applyAlignment="1">
      <alignment vertical="center"/>
    </xf>
    <xf numFmtId="43" fontId="13" fillId="6" borderId="119" xfId="2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191" fontId="12" fillId="2" borderId="26" xfId="0" applyNumberFormat="1" applyFont="1" applyFill="1" applyBorder="1" applyAlignment="1">
      <alignment vertical="center"/>
    </xf>
    <xf numFmtId="0" fontId="5" fillId="7" borderId="0" xfId="0" applyFont="1" applyFill="1">
      <alignment vertical="center"/>
    </xf>
    <xf numFmtId="0" fontId="12" fillId="0" borderId="115" xfId="0" applyFont="1" applyFill="1" applyBorder="1" applyAlignment="1">
      <alignment horizontal="center" vertical="center" wrapText="1"/>
    </xf>
    <xf numFmtId="191" fontId="12" fillId="2" borderId="115" xfId="0" applyNumberFormat="1" applyFont="1" applyFill="1" applyBorder="1" applyAlignment="1">
      <alignment vertical="center"/>
    </xf>
    <xf numFmtId="43" fontId="13" fillId="6" borderId="30" xfId="2" applyNumberFormat="1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180" fontId="12" fillId="2" borderId="55" xfId="2" applyNumberFormat="1" applyFont="1" applyFill="1" applyBorder="1" applyAlignment="1">
      <alignment vertical="center"/>
    </xf>
    <xf numFmtId="180" fontId="12" fillId="2" borderId="52" xfId="2" applyNumberFormat="1" applyFont="1" applyFill="1" applyBorder="1" applyAlignment="1">
      <alignment vertical="center"/>
    </xf>
    <xf numFmtId="191" fontId="47" fillId="2" borderId="121" xfId="0" applyNumberFormat="1" applyFont="1" applyFill="1" applyBorder="1" applyAlignment="1">
      <alignment horizontal="center" vertical="center" wrapText="1"/>
    </xf>
    <xf numFmtId="191" fontId="47" fillId="2" borderId="122" xfId="0" applyNumberFormat="1" applyFont="1" applyFill="1" applyBorder="1" applyAlignment="1">
      <alignment horizontal="center" vertical="center" wrapText="1"/>
    </xf>
    <xf numFmtId="0" fontId="12" fillId="0" borderId="115" xfId="0" applyFont="1" applyFill="1" applyBorder="1" applyAlignment="1">
      <alignment horizontal="center" vertical="center"/>
    </xf>
    <xf numFmtId="191" fontId="12" fillId="0" borderId="89" xfId="0" applyNumberFormat="1" applyFont="1" applyFill="1" applyBorder="1" applyAlignment="1">
      <alignment vertical="center"/>
    </xf>
    <xf numFmtId="0" fontId="12" fillId="0" borderId="123" xfId="0" applyFont="1" applyFill="1" applyBorder="1" applyAlignment="1">
      <alignment horizontal="center" vertical="center"/>
    </xf>
    <xf numFmtId="191" fontId="12" fillId="2" borderId="124" xfId="2" applyNumberFormat="1" applyFont="1" applyFill="1" applyBorder="1" applyAlignment="1">
      <alignment vertical="center"/>
    </xf>
    <xf numFmtId="191" fontId="12" fillId="2" borderId="125" xfId="2" applyNumberFormat="1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191" fontId="12" fillId="0" borderId="126" xfId="0" applyNumberFormat="1" applyFont="1" applyFill="1" applyBorder="1" applyAlignment="1">
      <alignment vertical="center"/>
    </xf>
    <xf numFmtId="191" fontId="12" fillId="0" borderId="118" xfId="0" applyNumberFormat="1" applyFont="1" applyFill="1" applyBorder="1" applyAlignment="1">
      <alignment vertical="center"/>
    </xf>
    <xf numFmtId="0" fontId="12" fillId="4" borderId="18" xfId="0" applyFont="1" applyFill="1" applyBorder="1" applyAlignment="1">
      <alignment horizontal="center" vertical="center" wrapText="1"/>
    </xf>
    <xf numFmtId="191" fontId="12" fillId="2" borderId="123" xfId="2" applyNumberFormat="1" applyFont="1" applyFill="1" applyBorder="1" applyAlignment="1">
      <alignment vertical="center"/>
    </xf>
    <xf numFmtId="191" fontId="12" fillId="0" borderId="97" xfId="2" applyNumberFormat="1" applyFont="1" applyFill="1" applyBorder="1" applyAlignment="1">
      <alignment vertical="center"/>
    </xf>
    <xf numFmtId="191" fontId="12" fillId="0" borderId="89" xfId="2" applyNumberFormat="1" applyFont="1" applyFill="1" applyBorder="1" applyAlignment="1">
      <alignment vertical="center"/>
    </xf>
    <xf numFmtId="0" fontId="12" fillId="0" borderId="62" xfId="0" applyFont="1" applyFill="1" applyBorder="1" applyAlignment="1">
      <alignment horizontal="center" vertical="center"/>
    </xf>
    <xf numFmtId="191" fontId="12" fillId="0" borderId="127" xfId="0" applyNumberFormat="1" applyFont="1" applyFill="1" applyBorder="1" applyAlignment="1">
      <alignment vertical="center"/>
    </xf>
    <xf numFmtId="191" fontId="12" fillId="0" borderId="128" xfId="0" applyNumberFormat="1" applyFont="1" applyFill="1" applyBorder="1" applyAlignment="1">
      <alignment vertical="center"/>
    </xf>
    <xf numFmtId="180" fontId="13" fillId="6" borderId="116" xfId="2" applyNumberFormat="1" applyFont="1" applyFill="1" applyBorder="1" applyAlignment="1">
      <alignment vertical="center"/>
    </xf>
    <xf numFmtId="177" fontId="13" fillId="6" borderId="129" xfId="0" applyNumberFormat="1" applyFont="1" applyFill="1" applyBorder="1" applyAlignment="1">
      <alignment horizontal="center" vertical="center"/>
    </xf>
    <xf numFmtId="180" fontId="13" fillId="6" borderId="130" xfId="2" applyNumberFormat="1" applyFont="1" applyFill="1" applyBorder="1" applyAlignment="1">
      <alignment vertical="center"/>
    </xf>
    <xf numFmtId="9" fontId="12" fillId="2" borderId="19" xfId="1" applyFont="1" applyFill="1" applyBorder="1" applyAlignment="1">
      <alignment horizontal="center" vertical="center"/>
    </xf>
    <xf numFmtId="9" fontId="12" fillId="2" borderId="131" xfId="1" applyFont="1" applyFill="1" applyBorder="1" applyAlignment="1">
      <alignment horizontal="center" vertical="center"/>
    </xf>
    <xf numFmtId="180" fontId="12" fillId="4" borderId="87" xfId="2" applyNumberFormat="1" applyFont="1" applyFill="1" applyBorder="1" applyAlignment="1">
      <alignment horizontal="center" vertical="center"/>
    </xf>
    <xf numFmtId="0" fontId="20" fillId="0" borderId="132" xfId="0" applyFont="1" applyFill="1" applyBorder="1" applyAlignment="1">
      <alignment horizontal="center" vertical="center" wrapText="1"/>
    </xf>
    <xf numFmtId="0" fontId="10" fillId="0" borderId="133" xfId="2" applyNumberFormat="1" applyFont="1" applyFill="1" applyBorder="1" applyAlignment="1">
      <alignment horizontal="center" vertical="center"/>
    </xf>
    <xf numFmtId="180" fontId="20" fillId="0" borderId="123" xfId="2" applyNumberFormat="1" applyFont="1" applyFill="1" applyBorder="1" applyAlignment="1">
      <alignment horizontal="center" vertical="center"/>
    </xf>
    <xf numFmtId="0" fontId="10" fillId="0" borderId="134" xfId="2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10" fillId="0" borderId="28" xfId="2" applyNumberFormat="1" applyFont="1" applyFill="1" applyBorder="1" applyAlignment="1">
      <alignment horizontal="center" vertical="center"/>
    </xf>
    <xf numFmtId="180" fontId="20" fillId="0" borderId="18" xfId="2" applyNumberFormat="1" applyFont="1" applyFill="1" applyBorder="1" applyAlignment="1">
      <alignment horizontal="center" vertical="center"/>
    </xf>
    <xf numFmtId="0" fontId="4" fillId="4" borderId="18" xfId="0" applyFont="1" applyFill="1" applyBorder="1">
      <alignment vertical="center"/>
    </xf>
    <xf numFmtId="179" fontId="12" fillId="0" borderId="135" xfId="0" applyNumberFormat="1" applyFont="1" applyFill="1" applyBorder="1">
      <alignment vertical="center"/>
    </xf>
    <xf numFmtId="179" fontId="12" fillId="0" borderId="136" xfId="0" applyNumberFormat="1" applyFont="1" applyFill="1" applyBorder="1">
      <alignment vertical="center"/>
    </xf>
    <xf numFmtId="0" fontId="36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>
      <alignment vertical="center"/>
    </xf>
    <xf numFmtId="0" fontId="36" fillId="2" borderId="18" xfId="0" applyFont="1" applyFill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 wrapText="1"/>
    </xf>
    <xf numFmtId="0" fontId="12" fillId="4" borderId="101" xfId="0" applyFont="1" applyFill="1" applyBorder="1" applyAlignment="1">
      <alignment horizontal="center" vertical="center" wrapText="1"/>
    </xf>
    <xf numFmtId="180" fontId="31" fillId="5" borderId="18" xfId="7" applyNumberFormat="1" applyFont="1" applyFill="1" applyBorder="1" applyAlignment="1" applyProtection="1">
      <alignment vertical="center"/>
      <protection locked="0"/>
    </xf>
    <xf numFmtId="180" fontId="31" fillId="5" borderId="64" xfId="7" applyNumberFormat="1" applyFont="1" applyFill="1" applyBorder="1" applyAlignment="1">
      <alignment vertical="center"/>
    </xf>
    <xf numFmtId="0" fontId="55" fillId="5" borderId="138" xfId="0" applyFont="1" applyFill="1" applyBorder="1" applyAlignment="1">
      <alignment horizontal="center" vertical="center" wrapText="1"/>
    </xf>
    <xf numFmtId="189" fontId="31" fillId="0" borderId="0" xfId="7" applyNumberFormat="1" applyFont="1" applyBorder="1" applyAlignment="1">
      <alignment horizontal="right" vertical="center"/>
    </xf>
    <xf numFmtId="0" fontId="49" fillId="5" borderId="139" xfId="0" applyFont="1" applyFill="1" applyBorder="1" applyAlignment="1">
      <alignment horizontal="center" vertical="center" wrapText="1"/>
    </xf>
    <xf numFmtId="0" fontId="31" fillId="2" borderId="18" xfId="7" applyFont="1" applyFill="1" applyBorder="1" applyAlignment="1">
      <alignment vertical="center" shrinkToFit="1"/>
    </xf>
    <xf numFmtId="14" fontId="31" fillId="2" borderId="18" xfId="1" applyNumberFormat="1" applyFont="1" applyFill="1" applyBorder="1" applyAlignment="1">
      <alignment horizontal="center" vertical="center" wrapText="1"/>
    </xf>
    <xf numFmtId="0" fontId="31" fillId="2" borderId="18" xfId="7" applyFont="1" applyFill="1" applyBorder="1" applyAlignment="1">
      <alignment vertical="center" wrapText="1" shrinkToFit="1"/>
    </xf>
    <xf numFmtId="0" fontId="24" fillId="0" borderId="0" xfId="2" applyNumberFormat="1" applyFont="1" applyFill="1" applyBorder="1" applyAlignment="1">
      <alignment horizontal="center" vertical="center" shrinkToFit="1"/>
    </xf>
    <xf numFmtId="0" fontId="31" fillId="2" borderId="18" xfId="7" applyFont="1" applyFill="1" applyBorder="1" applyAlignment="1">
      <alignment horizontal="left" vertical="center" wrapText="1" shrinkToFit="1"/>
    </xf>
    <xf numFmtId="0" fontId="31" fillId="2" borderId="18" xfId="0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center" vertical="center" wrapText="1"/>
    </xf>
    <xf numFmtId="205" fontId="31" fillId="2" borderId="18" xfId="0" applyNumberFormat="1" applyFont="1" applyFill="1" applyBorder="1" applyAlignment="1">
      <alignment horizontal="center" vertical="center"/>
    </xf>
    <xf numFmtId="195" fontId="31" fillId="2" borderId="18" xfId="2" applyNumberFormat="1" applyFont="1" applyFill="1" applyBorder="1" applyAlignment="1">
      <alignment horizontal="right" vertical="center" wrapText="1"/>
    </xf>
    <xf numFmtId="206" fontId="31" fillId="2" borderId="18" xfId="0" applyNumberFormat="1" applyFont="1" applyFill="1" applyBorder="1" applyAlignment="1">
      <alignment horizontal="right" vertical="center"/>
    </xf>
    <xf numFmtId="43" fontId="4" fillId="0" borderId="0" xfId="0" applyNumberFormat="1" applyFont="1">
      <alignment vertical="center"/>
    </xf>
    <xf numFmtId="0" fontId="31" fillId="2" borderId="30" xfId="7" applyFont="1" applyFill="1" applyBorder="1" applyAlignment="1">
      <alignment horizontal="left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31" fillId="2" borderId="18" xfId="7" applyFont="1" applyFill="1" applyBorder="1" applyAlignment="1">
      <alignment horizontal="left" vertical="center" wrapText="1"/>
    </xf>
    <xf numFmtId="0" fontId="54" fillId="2" borderId="140" xfId="0" applyFont="1" applyFill="1" applyBorder="1" applyAlignment="1">
      <alignment horizontal="center" vertical="center" wrapText="1"/>
    </xf>
    <xf numFmtId="0" fontId="55" fillId="2" borderId="141" xfId="0" applyFont="1" applyFill="1" applyBorder="1" applyAlignment="1">
      <alignment horizontal="center" vertical="center" wrapText="1"/>
    </xf>
    <xf numFmtId="193" fontId="31" fillId="7" borderId="142" xfId="2" applyNumberFormat="1" applyFont="1" applyFill="1" applyBorder="1" applyAlignment="1">
      <alignment horizontal="center" vertical="center" wrapText="1"/>
    </xf>
    <xf numFmtId="193" fontId="34" fillId="5" borderId="143" xfId="2" applyNumberFormat="1" applyFont="1" applyFill="1" applyBorder="1" applyAlignment="1">
      <alignment horizontal="right" vertical="center" wrapText="1"/>
    </xf>
    <xf numFmtId="193" fontId="37" fillId="7" borderId="142" xfId="7" applyNumberFormat="1" applyFont="1" applyFill="1" applyBorder="1" applyAlignment="1">
      <alignment horizontal="center" vertical="center" wrapText="1"/>
    </xf>
    <xf numFmtId="194" fontId="45" fillId="5" borderId="143" xfId="7" applyNumberFormat="1" applyFont="1" applyFill="1" applyBorder="1" applyAlignment="1">
      <alignment vertical="center" wrapText="1"/>
    </xf>
    <xf numFmtId="0" fontId="31" fillId="0" borderId="144" xfId="7" applyFont="1" applyBorder="1" applyAlignment="1">
      <alignment horizontal="center" vertical="top" wrapText="1"/>
    </xf>
    <xf numFmtId="0" fontId="10" fillId="0" borderId="145" xfId="0" applyFont="1" applyFill="1" applyBorder="1" applyAlignment="1">
      <alignment horizontal="center" vertical="center"/>
    </xf>
    <xf numFmtId="207" fontId="10" fillId="2" borderId="144" xfId="0" applyNumberFormat="1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200" fontId="11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1" fillId="0" borderId="0" xfId="2" applyNumberFormat="1" applyFont="1" applyFill="1" applyBorder="1" applyAlignment="1">
      <alignment horizontal="center"/>
    </xf>
    <xf numFmtId="14" fontId="31" fillId="0" borderId="0" xfId="2" applyNumberFormat="1" applyFont="1" applyFill="1" applyBorder="1" applyAlignment="1"/>
    <xf numFmtId="0" fontId="43" fillId="4" borderId="150" xfId="0" applyFont="1" applyFill="1" applyBorder="1" applyAlignment="1">
      <alignment horizontal="center" vertical="center" wrapText="1"/>
    </xf>
    <xf numFmtId="0" fontId="43" fillId="4" borderId="151" xfId="0" applyFont="1" applyFill="1" applyBorder="1" applyAlignment="1">
      <alignment horizontal="center" vertical="center" wrapText="1"/>
    </xf>
    <xf numFmtId="196" fontId="31" fillId="0" borderId="33" xfId="2" applyNumberFormat="1" applyFont="1" applyBorder="1" applyAlignment="1">
      <alignment horizontal="right" vertical="center"/>
    </xf>
    <xf numFmtId="196" fontId="31" fillId="5" borderId="33" xfId="2" applyNumberFormat="1" applyFont="1" applyFill="1" applyBorder="1" applyAlignment="1">
      <alignment horizontal="right" vertical="center"/>
    </xf>
    <xf numFmtId="196" fontId="31" fillId="5" borderId="34" xfId="2" applyNumberFormat="1" applyFont="1" applyFill="1" applyBorder="1" applyAlignment="1">
      <alignment horizontal="right" vertical="center"/>
    </xf>
    <xf numFmtId="9" fontId="31" fillId="2" borderId="18" xfId="1" applyFont="1" applyFill="1" applyBorder="1" applyAlignment="1">
      <alignment horizontal="center" vertical="center" wrapText="1"/>
    </xf>
    <xf numFmtId="14" fontId="31" fillId="2" borderId="18" xfId="7" applyNumberFormat="1" applyFont="1" applyFill="1" applyBorder="1" applyAlignment="1" applyProtection="1">
      <alignment horizontal="center" vertical="center"/>
      <protection locked="0"/>
    </xf>
    <xf numFmtId="10" fontId="4" fillId="0" borderId="0" xfId="0" applyNumberFormat="1" applyFont="1">
      <alignment vertical="center"/>
    </xf>
    <xf numFmtId="10" fontId="21" fillId="0" borderId="0" xfId="0" applyNumberFormat="1" applyFont="1" applyAlignment="1">
      <alignment vertical="center" wrapText="1"/>
    </xf>
    <xf numFmtId="10" fontId="28" fillId="0" borderId="0" xfId="7" applyNumberFormat="1" applyFont="1" applyBorder="1" applyAlignment="1">
      <alignment horizontal="center" vertical="center"/>
    </xf>
    <xf numFmtId="10" fontId="42" fillId="0" borderId="0" xfId="0" applyNumberFormat="1" applyFont="1">
      <alignment vertical="center"/>
    </xf>
    <xf numFmtId="10" fontId="4" fillId="0" borderId="0" xfId="0" applyNumberFormat="1" applyFont="1" applyFill="1">
      <alignment vertical="center"/>
    </xf>
    <xf numFmtId="10" fontId="0" fillId="0" borderId="0" xfId="0" applyNumberFormat="1">
      <alignment vertical="center"/>
    </xf>
    <xf numFmtId="180" fontId="11" fillId="0" borderId="152" xfId="2" applyNumberFormat="1" applyFont="1" applyFill="1" applyBorder="1" applyAlignment="1">
      <alignment horizontal="center" vertical="center"/>
    </xf>
    <xf numFmtId="0" fontId="1" fillId="0" borderId="0" xfId="7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10" fillId="0" borderId="153" xfId="2" applyNumberFormat="1" applyFont="1" applyFill="1" applyBorder="1" applyAlignment="1">
      <alignment horizontal="center" vertical="center"/>
    </xf>
    <xf numFmtId="180" fontId="20" fillId="0" borderId="119" xfId="2" applyNumberFormat="1" applyFont="1" applyFill="1" applyBorder="1" applyAlignment="1">
      <alignment horizontal="center" vertical="center"/>
    </xf>
    <xf numFmtId="177" fontId="10" fillId="0" borderId="18" xfId="2" applyNumberFormat="1" applyFont="1" applyFill="1" applyBorder="1" applyAlignment="1">
      <alignment vertical="center"/>
    </xf>
    <xf numFmtId="14" fontId="33" fillId="2" borderId="18" xfId="7" applyNumberFormat="1" applyFont="1" applyFill="1" applyBorder="1" applyAlignment="1" applyProtection="1">
      <alignment horizontal="center" vertical="center" wrapText="1"/>
      <protection locked="0"/>
    </xf>
    <xf numFmtId="180" fontId="17" fillId="3" borderId="4" xfId="2" applyNumberFormat="1" applyFont="1" applyFill="1" applyBorder="1" applyAlignment="1">
      <alignment horizontal="center" vertical="center" shrinkToFit="1"/>
    </xf>
    <xf numFmtId="0" fontId="12" fillId="4" borderId="154" xfId="0" applyFont="1" applyFill="1" applyBorder="1" applyAlignment="1">
      <alignment horizontal="center" vertical="center" shrinkToFit="1"/>
    </xf>
    <xf numFmtId="0" fontId="48" fillId="0" borderId="29" xfId="0" applyFont="1" applyFill="1" applyBorder="1" applyAlignment="1">
      <alignment horizontal="center" vertical="center" wrapText="1"/>
    </xf>
    <xf numFmtId="0" fontId="48" fillId="2" borderId="155" xfId="0" applyFont="1" applyFill="1" applyBorder="1" applyAlignment="1">
      <alignment horizontal="center" vertical="center" wrapText="1"/>
    </xf>
    <xf numFmtId="0" fontId="12" fillId="4" borderId="59" xfId="0" applyFont="1" applyFill="1" applyBorder="1" applyAlignment="1">
      <alignment horizontal="center" vertical="center" wrapText="1"/>
    </xf>
    <xf numFmtId="0" fontId="12" fillId="4" borderId="118" xfId="0" applyFont="1" applyFill="1" applyBorder="1" applyAlignment="1">
      <alignment horizontal="center" vertical="center" wrapText="1"/>
    </xf>
    <xf numFmtId="0" fontId="12" fillId="4" borderId="156" xfId="0" applyFont="1" applyFill="1" applyBorder="1" applyAlignment="1">
      <alignment horizontal="center" vertical="center" wrapText="1"/>
    </xf>
    <xf numFmtId="0" fontId="31" fillId="0" borderId="0" xfId="7" applyFont="1" applyFill="1" applyBorder="1" applyAlignment="1">
      <alignment horizontal="center" vertical="center" wrapText="1"/>
    </xf>
    <xf numFmtId="177" fontId="39" fillId="0" borderId="0" xfId="7" applyNumberFormat="1" applyFont="1" applyBorder="1" applyAlignment="1">
      <alignment vertical="center" wrapText="1"/>
    </xf>
    <xf numFmtId="189" fontId="15" fillId="0" borderId="18" xfId="2" applyNumberFormat="1" applyFont="1" applyFill="1" applyBorder="1" applyAlignment="1">
      <alignment horizontal="center" vertical="center" wrapText="1"/>
    </xf>
    <xf numFmtId="0" fontId="31" fillId="2" borderId="30" xfId="7" applyFont="1" applyFill="1" applyBorder="1" applyAlignment="1">
      <alignment horizontal="center" vertical="center"/>
    </xf>
    <xf numFmtId="0" fontId="12" fillId="4" borderId="157" xfId="0" applyFont="1" applyFill="1" applyBorder="1" applyAlignment="1">
      <alignment horizontal="center" vertical="center" shrinkToFit="1"/>
    </xf>
    <xf numFmtId="9" fontId="31" fillId="2" borderId="30" xfId="7" applyNumberFormat="1" applyFont="1" applyFill="1" applyBorder="1" applyAlignment="1">
      <alignment horizontal="center" vertical="center"/>
    </xf>
    <xf numFmtId="41" fontId="31" fillId="2" borderId="30" xfId="7" applyNumberFormat="1" applyFont="1" applyFill="1" applyBorder="1" applyAlignment="1">
      <alignment horizontal="center" vertical="center"/>
    </xf>
    <xf numFmtId="41" fontId="31" fillId="2" borderId="30" xfId="1" applyNumberFormat="1" applyFont="1" applyFill="1" applyBorder="1" applyAlignment="1">
      <alignment horizontal="center" vertical="center"/>
    </xf>
    <xf numFmtId="179" fontId="31" fillId="0" borderId="30" xfId="7" applyNumberFormat="1" applyFont="1" applyFill="1" applyBorder="1" applyAlignment="1" applyProtection="1">
      <alignment vertical="center"/>
      <protection locked="0"/>
    </xf>
    <xf numFmtId="179" fontId="31" fillId="0" borderId="30" xfId="7" applyNumberFormat="1" applyFont="1" applyBorder="1" applyAlignment="1" applyProtection="1">
      <alignment vertical="center"/>
      <protection locked="0"/>
    </xf>
    <xf numFmtId="180" fontId="31" fillId="0" borderId="30" xfId="7" applyNumberFormat="1" applyFont="1" applyBorder="1" applyAlignment="1" applyProtection="1">
      <alignment vertical="center"/>
      <protection locked="0"/>
    </xf>
    <xf numFmtId="0" fontId="31" fillId="0" borderId="155" xfId="7" applyFont="1" applyBorder="1" applyAlignment="1">
      <alignment horizontal="center" vertical="center"/>
    </xf>
    <xf numFmtId="0" fontId="31" fillId="0" borderId="158" xfId="7" applyFont="1" applyFill="1" applyBorder="1" applyAlignment="1">
      <alignment horizontal="center" vertical="center"/>
    </xf>
    <xf numFmtId="0" fontId="31" fillId="0" borderId="31" xfId="7" applyFont="1" applyFill="1" applyBorder="1" applyAlignment="1">
      <alignment horizontal="center" vertical="center"/>
    </xf>
    <xf numFmtId="0" fontId="49" fillId="0" borderId="34" xfId="0" applyFont="1" applyFill="1" applyBorder="1" applyAlignment="1">
      <alignment horizontal="center" vertical="center" wrapText="1"/>
    </xf>
    <xf numFmtId="0" fontId="23" fillId="0" borderId="0" xfId="2" applyNumberFormat="1" applyFont="1" applyFill="1" applyBorder="1" applyAlignment="1">
      <alignment horizontal="left" vertical="center" wrapText="1"/>
    </xf>
    <xf numFmtId="14" fontId="31" fillId="2" borderId="18" xfId="2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180" fontId="10" fillId="0" borderId="18" xfId="2" applyNumberFormat="1" applyFont="1" applyFill="1" applyBorder="1" applyAlignment="1">
      <alignment horizontal="center" vertical="center"/>
    </xf>
    <xf numFmtId="180" fontId="4" fillId="0" borderId="0" xfId="0" applyNumberFormat="1" applyFont="1" applyFill="1">
      <alignment vertical="center"/>
    </xf>
    <xf numFmtId="14" fontId="1" fillId="0" borderId="0" xfId="2" applyNumberFormat="1" applyFont="1" applyFill="1" applyBorder="1" applyAlignment="1"/>
    <xf numFmtId="0" fontId="33" fillId="4" borderId="84" xfId="7" applyFont="1" applyFill="1" applyBorder="1" applyAlignment="1">
      <alignment horizontal="center" vertical="center" wrapText="1"/>
    </xf>
    <xf numFmtId="0" fontId="33" fillId="4" borderId="101" xfId="7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21" fillId="0" borderId="0" xfId="0" applyFont="1" applyBorder="1">
      <alignment vertical="center"/>
    </xf>
    <xf numFmtId="180" fontId="21" fillId="0" borderId="0" xfId="2" applyNumberFormat="1" applyFont="1" applyBorder="1">
      <alignment vertical="center"/>
    </xf>
    <xf numFmtId="0" fontId="24" fillId="0" borderId="0" xfId="2" applyNumberFormat="1" applyFont="1" applyFill="1" applyBorder="1" applyAlignment="1">
      <alignment vertical="center" shrinkToFit="1"/>
    </xf>
    <xf numFmtId="0" fontId="31" fillId="0" borderId="33" xfId="7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12" fillId="4" borderId="87" xfId="0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0" fontId="31" fillId="0" borderId="159" xfId="7" applyFont="1" applyFill="1" applyBorder="1" applyAlignment="1">
      <alignment horizontal="center" vertical="center"/>
    </xf>
    <xf numFmtId="0" fontId="48" fillId="0" borderId="64" xfId="0" applyFont="1" applyFill="1" applyBorder="1" applyAlignment="1">
      <alignment horizontal="center" vertical="center" wrapText="1"/>
    </xf>
    <xf numFmtId="0" fontId="12" fillId="4" borderId="88" xfId="0" applyFont="1" applyFill="1" applyBorder="1" applyAlignment="1">
      <alignment horizontal="center" vertical="center"/>
    </xf>
    <xf numFmtId="0" fontId="43" fillId="4" borderId="84" xfId="0" applyFont="1" applyFill="1" applyBorder="1" applyAlignment="1">
      <alignment horizontal="center" vertical="center" wrapText="1"/>
    </xf>
    <xf numFmtId="0" fontId="43" fillId="4" borderId="63" xfId="0" applyFont="1" applyFill="1" applyBorder="1" applyAlignment="1">
      <alignment horizontal="center" vertical="center" wrapText="1"/>
    </xf>
    <xf numFmtId="0" fontId="43" fillId="4" borderId="101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191" fontId="12" fillId="0" borderId="115" xfId="2" applyNumberFormat="1" applyFont="1" applyFill="1" applyBorder="1" applyAlignment="1">
      <alignment vertical="center"/>
    </xf>
    <xf numFmtId="177" fontId="13" fillId="6" borderId="161" xfId="0" applyNumberFormat="1" applyFont="1" applyFill="1" applyBorder="1" applyAlignment="1">
      <alignment horizontal="center" vertical="center"/>
    </xf>
    <xf numFmtId="41" fontId="12" fillId="2" borderId="162" xfId="2" applyFont="1" applyFill="1" applyBorder="1" applyAlignment="1">
      <alignment vertical="center"/>
    </xf>
    <xf numFmtId="41" fontId="12" fillId="2" borderId="99" xfId="2" applyFont="1" applyFill="1" applyBorder="1" applyAlignment="1">
      <alignment vertical="center"/>
    </xf>
    <xf numFmtId="180" fontId="13" fillId="6" borderId="163" xfId="2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8" fillId="0" borderId="164" xfId="0" applyFont="1" applyBorder="1" applyAlignment="1">
      <alignment horizontal="center" vertical="center" wrapText="1"/>
    </xf>
    <xf numFmtId="9" fontId="51" fillId="0" borderId="165" xfId="1" applyFont="1" applyFill="1" applyBorder="1" applyAlignment="1">
      <alignment horizontal="center" vertical="center"/>
    </xf>
    <xf numFmtId="0" fontId="48" fillId="2" borderId="166" xfId="0" applyFont="1" applyFill="1" applyBorder="1" applyAlignment="1">
      <alignment horizontal="center" vertical="center" wrapText="1"/>
    </xf>
    <xf numFmtId="0" fontId="49" fillId="5" borderId="167" xfId="0" applyFont="1" applyFill="1" applyBorder="1" applyAlignment="1">
      <alignment horizontal="center" vertical="center" wrapText="1"/>
    </xf>
    <xf numFmtId="0" fontId="61" fillId="2" borderId="18" xfId="7" applyFont="1" applyFill="1" applyBorder="1" applyAlignment="1">
      <alignment horizontal="left" vertical="center" wrapText="1"/>
    </xf>
    <xf numFmtId="41" fontId="12" fillId="2" borderId="87" xfId="2" applyNumberFormat="1" applyFont="1" applyFill="1" applyBorder="1">
      <alignment vertical="center"/>
    </xf>
    <xf numFmtId="41" fontId="12" fillId="2" borderId="88" xfId="2" applyNumberFormat="1" applyFont="1" applyFill="1" applyBorder="1">
      <alignment vertical="center"/>
    </xf>
    <xf numFmtId="191" fontId="31" fillId="0" borderId="18" xfId="7" applyNumberFormat="1" applyFont="1" applyFill="1" applyBorder="1" applyAlignment="1" applyProtection="1">
      <alignment horizontal="center" vertical="center" wrapText="1"/>
      <protection locked="0"/>
    </xf>
    <xf numFmtId="14" fontId="31" fillId="2" borderId="18" xfId="0" applyNumberFormat="1" applyFont="1" applyFill="1" applyBorder="1" applyAlignment="1">
      <alignment horizontal="center" vertical="center" wrapText="1"/>
    </xf>
    <xf numFmtId="0" fontId="62" fillId="2" borderId="18" xfId="0" applyFont="1" applyFill="1" applyBorder="1" applyAlignment="1">
      <alignment horizontal="center" vertical="center" wrapText="1"/>
    </xf>
    <xf numFmtId="191" fontId="12" fillId="2" borderId="122" xfId="2" applyNumberFormat="1" applyFont="1" applyFill="1" applyBorder="1" applyAlignment="1">
      <alignment vertical="center"/>
    </xf>
    <xf numFmtId="180" fontId="31" fillId="0" borderId="0" xfId="2" applyNumberFormat="1" applyFont="1" applyBorder="1" applyAlignment="1">
      <alignment horizontal="right" vertical="center"/>
    </xf>
    <xf numFmtId="0" fontId="33" fillId="0" borderId="100" xfId="7" applyFont="1" applyBorder="1" applyAlignment="1">
      <alignment horizontal="center" vertical="center" wrapText="1"/>
    </xf>
    <xf numFmtId="189" fontId="31" fillId="2" borderId="18" xfId="7" applyNumberFormat="1" applyFont="1" applyFill="1" applyBorder="1" applyAlignment="1" applyProtection="1">
      <alignment vertical="center" wrapText="1"/>
      <protection locked="0"/>
    </xf>
    <xf numFmtId="189" fontId="31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31" fillId="0" borderId="137" xfId="7" applyFont="1" applyBorder="1" applyAlignment="1">
      <alignment horizontal="center" vertical="center" wrapText="1"/>
    </xf>
    <xf numFmtId="0" fontId="31" fillId="0" borderId="100" xfId="7" applyFont="1" applyBorder="1" applyAlignment="1">
      <alignment horizontal="center" vertical="center" wrapText="1"/>
    </xf>
    <xf numFmtId="193" fontId="12" fillId="0" borderId="35" xfId="2" applyNumberFormat="1" applyFont="1" applyFill="1" applyBorder="1">
      <alignment vertical="center"/>
    </xf>
    <xf numFmtId="0" fontId="12" fillId="0" borderId="18" xfId="0" applyFont="1" applyBorder="1" applyAlignment="1">
      <alignment horizontal="center" vertical="center" shrinkToFit="1"/>
    </xf>
    <xf numFmtId="0" fontId="24" fillId="0" borderId="0" xfId="2" applyNumberFormat="1" applyFont="1" applyFill="1" applyBorder="1" applyAlignment="1">
      <alignment horizontal="center" vertical="center" wrapText="1"/>
    </xf>
    <xf numFmtId="0" fontId="31" fillId="2" borderId="18" xfId="7" applyFont="1" applyFill="1" applyBorder="1" applyAlignment="1">
      <alignment vertical="top" wrapText="1"/>
    </xf>
    <xf numFmtId="41" fontId="31" fillId="2" borderId="18" xfId="2" applyFont="1" applyFill="1" applyBorder="1" applyAlignment="1">
      <alignment vertical="top" wrapText="1"/>
    </xf>
    <xf numFmtId="14" fontId="31" fillId="2" borderId="18" xfId="1" applyNumberFormat="1" applyFont="1" applyFill="1" applyBorder="1" applyAlignment="1">
      <alignment horizontal="center" vertical="top" wrapText="1"/>
    </xf>
    <xf numFmtId="193" fontId="31" fillId="8" borderId="18" xfId="2" applyNumberFormat="1" applyFont="1" applyFill="1" applyBorder="1" applyAlignment="1">
      <alignment vertical="center" wrapText="1"/>
    </xf>
    <xf numFmtId="178" fontId="31" fillId="8" borderId="18" xfId="1" applyNumberFormat="1" applyFont="1" applyFill="1" applyBorder="1" applyAlignment="1">
      <alignment vertical="center" wrapText="1"/>
    </xf>
    <xf numFmtId="177" fontId="37" fillId="8" borderId="18" xfId="7" applyNumberFormat="1" applyFont="1" applyFill="1" applyBorder="1" applyAlignment="1">
      <alignment vertical="center" wrapText="1"/>
    </xf>
    <xf numFmtId="0" fontId="48" fillId="0" borderId="169" xfId="0" applyFont="1" applyBorder="1" applyAlignment="1">
      <alignment horizontal="center" vertical="center" wrapText="1"/>
    </xf>
    <xf numFmtId="9" fontId="51" fillId="0" borderId="79" xfId="1" applyFont="1" applyFill="1" applyBorder="1" applyAlignment="1">
      <alignment horizontal="center" vertical="center"/>
    </xf>
    <xf numFmtId="177" fontId="49" fillId="2" borderId="170" xfId="0" applyNumberFormat="1" applyFont="1" applyFill="1" applyBorder="1" applyAlignment="1">
      <alignment horizontal="center" vertical="center" wrapText="1"/>
    </xf>
    <xf numFmtId="0" fontId="49" fillId="5" borderId="171" xfId="0" applyFont="1" applyFill="1" applyBorder="1" applyAlignment="1">
      <alignment horizontal="center" vertical="center" wrapText="1"/>
    </xf>
    <xf numFmtId="0" fontId="48" fillId="0" borderId="172" xfId="0" applyFont="1" applyBorder="1" applyAlignment="1">
      <alignment horizontal="center" vertical="center" wrapText="1"/>
    </xf>
    <xf numFmtId="9" fontId="51" fillId="0" borderId="8" xfId="1" applyFont="1" applyFill="1" applyBorder="1" applyAlignment="1">
      <alignment horizontal="center" vertical="center"/>
    </xf>
    <xf numFmtId="177" fontId="49" fillId="2" borderId="173" xfId="0" applyNumberFormat="1" applyFont="1" applyFill="1" applyBorder="1" applyAlignment="1">
      <alignment horizontal="center" vertical="center" wrapText="1"/>
    </xf>
    <xf numFmtId="0" fontId="49" fillId="5" borderId="174" xfId="0" applyFont="1" applyFill="1" applyBorder="1" applyAlignment="1">
      <alignment horizontal="center" vertical="center" wrapText="1"/>
    </xf>
    <xf numFmtId="208" fontId="49" fillId="2" borderId="166" xfId="0" applyNumberFormat="1" applyFont="1" applyFill="1" applyBorder="1" applyAlignment="1">
      <alignment horizontal="center" vertical="center" wrapText="1"/>
    </xf>
    <xf numFmtId="0" fontId="31" fillId="2" borderId="31" xfId="7" applyFont="1" applyFill="1" applyBorder="1" applyAlignment="1">
      <alignment vertical="top" wrapText="1"/>
    </xf>
    <xf numFmtId="0" fontId="31" fillId="2" borderId="18" xfId="7" applyFont="1" applyFill="1" applyBorder="1" applyAlignment="1">
      <alignment horizontal="left" vertical="top" wrapText="1"/>
    </xf>
    <xf numFmtId="0" fontId="31" fillId="2" borderId="18" xfId="7" applyFont="1" applyFill="1" applyBorder="1" applyAlignment="1">
      <alignment horizontal="center" vertical="top" wrapText="1"/>
    </xf>
    <xf numFmtId="41" fontId="31" fillId="2" borderId="18" xfId="2" applyFont="1" applyFill="1" applyBorder="1" applyAlignment="1">
      <alignment horizontal="center" vertical="top" wrapText="1"/>
    </xf>
    <xf numFmtId="193" fontId="31" fillId="0" borderId="18" xfId="2" applyNumberFormat="1" applyFont="1" applyBorder="1" applyAlignment="1">
      <alignment horizontal="left" vertical="top" wrapText="1"/>
    </xf>
    <xf numFmtId="177" fontId="37" fillId="0" borderId="18" xfId="7" applyNumberFormat="1" applyFont="1" applyBorder="1" applyAlignment="1">
      <alignment horizontal="left" vertical="top" wrapText="1"/>
    </xf>
    <xf numFmtId="194" fontId="37" fillId="0" borderId="18" xfId="7" applyNumberFormat="1" applyFont="1" applyBorder="1" applyAlignment="1">
      <alignment horizontal="left" vertical="top" wrapText="1"/>
    </xf>
    <xf numFmtId="177" fontId="37" fillId="7" borderId="18" xfId="7" applyNumberFormat="1" applyFont="1" applyFill="1" applyBorder="1" applyAlignment="1">
      <alignment vertical="center" wrapText="1"/>
    </xf>
    <xf numFmtId="0" fontId="12" fillId="0" borderId="62" xfId="0" applyFont="1" applyBorder="1" applyAlignment="1">
      <alignment horizontal="center" vertical="center"/>
    </xf>
    <xf numFmtId="41" fontId="12" fillId="2" borderId="176" xfId="2" applyFont="1" applyFill="1" applyBorder="1">
      <alignment vertical="center"/>
    </xf>
    <xf numFmtId="41" fontId="12" fillId="2" borderId="177" xfId="2" applyFont="1" applyFill="1" applyBorder="1">
      <alignment vertical="center"/>
    </xf>
    <xf numFmtId="0" fontId="12" fillId="0" borderId="128" xfId="0" applyFont="1" applyFill="1" applyBorder="1">
      <alignment vertical="center"/>
    </xf>
    <xf numFmtId="180" fontId="12" fillId="0" borderId="128" xfId="2" applyNumberFormat="1" applyFont="1" applyFill="1" applyBorder="1">
      <alignment vertical="center"/>
    </xf>
    <xf numFmtId="9" fontId="12" fillId="0" borderId="62" xfId="1" applyFont="1" applyFill="1" applyBorder="1" applyAlignment="1">
      <alignment horizontal="center" vertical="center"/>
    </xf>
    <xf numFmtId="179" fontId="12" fillId="0" borderId="147" xfId="0" applyNumberFormat="1" applyFont="1" applyFill="1" applyBorder="1">
      <alignment vertical="center"/>
    </xf>
    <xf numFmtId="0" fontId="48" fillId="2" borderId="178" xfId="0" applyFont="1" applyFill="1" applyBorder="1" applyAlignment="1">
      <alignment horizontal="center" vertical="center" wrapText="1"/>
    </xf>
    <xf numFmtId="0" fontId="48" fillId="2" borderId="179" xfId="0" applyFont="1" applyFill="1" applyBorder="1" applyAlignment="1">
      <alignment horizontal="center" vertical="center" wrapText="1"/>
    </xf>
    <xf numFmtId="180" fontId="12" fillId="0" borderId="180" xfId="0" applyNumberFormat="1" applyFont="1" applyFill="1" applyBorder="1">
      <alignment vertical="center"/>
    </xf>
    <xf numFmtId="10" fontId="12" fillId="2" borderId="21" xfId="1" applyNumberFormat="1" applyFont="1" applyFill="1" applyBorder="1" applyAlignment="1">
      <alignment horizontal="center" vertical="center"/>
    </xf>
    <xf numFmtId="10" fontId="12" fillId="2" borderId="20" xfId="1" applyNumberFormat="1" applyFont="1" applyFill="1" applyBorder="1" applyAlignment="1">
      <alignment horizontal="center" vertical="center"/>
    </xf>
    <xf numFmtId="10" fontId="12" fillId="2" borderId="181" xfId="1" applyNumberFormat="1" applyFont="1" applyFill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shrinkToFit="1"/>
    </xf>
    <xf numFmtId="41" fontId="12" fillId="2" borderId="182" xfId="2" applyNumberFormat="1" applyFont="1" applyFill="1" applyBorder="1">
      <alignment vertical="center"/>
    </xf>
    <xf numFmtId="41" fontId="12" fillId="2" borderId="183" xfId="2" applyNumberFormat="1" applyFont="1" applyFill="1" applyBorder="1">
      <alignment vertical="center"/>
    </xf>
    <xf numFmtId="41" fontId="12" fillId="2" borderId="18" xfId="2" applyNumberFormat="1" applyFont="1" applyFill="1" applyBorder="1">
      <alignment vertical="center"/>
    </xf>
    <xf numFmtId="41" fontId="12" fillId="2" borderId="125" xfId="2" applyNumberFormat="1" applyFont="1" applyFill="1" applyBorder="1">
      <alignment vertical="center"/>
    </xf>
    <xf numFmtId="41" fontId="12" fillId="2" borderId="89" xfId="2" applyNumberFormat="1" applyFont="1" applyFill="1" applyBorder="1">
      <alignment vertical="center"/>
    </xf>
    <xf numFmtId="14" fontId="2" fillId="0" borderId="0" xfId="2" applyNumberFormat="1" applyFont="1" applyFill="1" applyBorder="1" applyAlignment="1"/>
    <xf numFmtId="0" fontId="31" fillId="0" borderId="31" xfId="7" applyFont="1" applyFill="1" applyBorder="1" applyAlignment="1">
      <alignment horizontal="center" vertical="top"/>
    </xf>
    <xf numFmtId="9" fontId="31" fillId="2" borderId="18" xfId="1" applyFont="1" applyFill="1" applyBorder="1" applyAlignment="1">
      <alignment horizontal="center" vertical="top"/>
    </xf>
    <xf numFmtId="189" fontId="31" fillId="2" borderId="18" xfId="7" applyNumberFormat="1" applyFont="1" applyFill="1" applyBorder="1" applyAlignment="1" applyProtection="1">
      <alignment vertical="top"/>
      <protection locked="0"/>
    </xf>
    <xf numFmtId="14" fontId="31" fillId="2" borderId="18" xfId="7" applyNumberFormat="1" applyFont="1" applyFill="1" applyBorder="1" applyAlignment="1" applyProtection="1">
      <alignment vertical="top"/>
      <protection locked="0"/>
    </xf>
    <xf numFmtId="197" fontId="31" fillId="2" borderId="18" xfId="2" applyNumberFormat="1" applyFont="1" applyFill="1" applyBorder="1" applyAlignment="1">
      <alignment horizontal="center" vertical="top"/>
    </xf>
    <xf numFmtId="196" fontId="31" fillId="0" borderId="33" xfId="2" applyNumberFormat="1" applyFont="1" applyBorder="1" applyAlignment="1">
      <alignment horizontal="right" vertical="top"/>
    </xf>
    <xf numFmtId="193" fontId="31" fillId="0" borderId="30" xfId="2" applyNumberFormat="1" applyFont="1" applyFill="1" applyBorder="1" applyAlignment="1">
      <alignment horizontal="left" vertical="top" wrapText="1"/>
    </xf>
    <xf numFmtId="178" fontId="31" fillId="0" borderId="30" xfId="1" applyNumberFormat="1" applyFont="1" applyFill="1" applyBorder="1" applyAlignment="1">
      <alignment horizontal="left" vertical="top" wrapText="1"/>
    </xf>
    <xf numFmtId="14" fontId="31" fillId="2" borderId="18" xfId="7" applyNumberFormat="1" applyFont="1" applyFill="1" applyBorder="1" applyAlignment="1" applyProtection="1">
      <alignment vertical="center" wrapText="1"/>
      <protection locked="0"/>
    </xf>
    <xf numFmtId="0" fontId="21" fillId="2" borderId="93" xfId="0" applyFont="1" applyFill="1" applyBorder="1" applyAlignment="1">
      <alignment horizontal="center" vertical="center" wrapText="1"/>
    </xf>
    <xf numFmtId="209" fontId="35" fillId="5" borderId="18" xfId="0" applyNumberFormat="1" applyFont="1" applyFill="1" applyBorder="1" applyAlignment="1">
      <alignment horizontal="center" vertical="center" wrapText="1"/>
    </xf>
    <xf numFmtId="14" fontId="15" fillId="2" borderId="18" xfId="0" applyNumberFormat="1" applyFont="1" applyFill="1" applyBorder="1" applyAlignment="1">
      <alignment horizontal="center" vertical="center" wrapText="1"/>
    </xf>
    <xf numFmtId="180" fontId="11" fillId="0" borderId="149" xfId="2" applyNumberFormat="1" applyFont="1" applyFill="1" applyBorder="1" applyAlignment="1">
      <alignment horizontal="center" vertical="center"/>
    </xf>
    <xf numFmtId="180" fontId="11" fillId="0" borderId="184" xfId="2" applyNumberFormat="1" applyFont="1" applyFill="1" applyBorder="1" applyAlignment="1">
      <alignment horizontal="center" vertical="center"/>
    </xf>
    <xf numFmtId="9" fontId="31" fillId="2" borderId="18" xfId="7" applyNumberFormat="1" applyFont="1" applyFill="1" applyBorder="1" applyAlignment="1">
      <alignment horizontal="center" vertical="top"/>
    </xf>
    <xf numFmtId="41" fontId="31" fillId="2" borderId="18" xfId="7" applyNumberFormat="1" applyFont="1" applyFill="1" applyBorder="1" applyAlignment="1">
      <alignment horizontal="center" vertical="top"/>
    </xf>
    <xf numFmtId="0" fontId="31" fillId="0" borderId="158" xfId="7" applyFont="1" applyFill="1" applyBorder="1" applyAlignment="1">
      <alignment horizontal="center" vertical="top"/>
    </xf>
    <xf numFmtId="0" fontId="64" fillId="2" borderId="18" xfId="7" applyFont="1" applyFill="1" applyBorder="1" applyAlignment="1">
      <alignment horizontal="left" vertical="center" wrapText="1"/>
    </xf>
    <xf numFmtId="14" fontId="31" fillId="2" borderId="18" xfId="0" applyNumberFormat="1" applyFont="1" applyFill="1" applyBorder="1" applyAlignment="1">
      <alignment horizontal="right" vertical="center"/>
    </xf>
    <xf numFmtId="198" fontId="12" fillId="0" borderId="18" xfId="2" applyNumberFormat="1" applyFont="1" applyFill="1" applyBorder="1">
      <alignment vertical="center"/>
    </xf>
    <xf numFmtId="198" fontId="12" fillId="0" borderId="185" xfId="2" applyNumberFormat="1" applyFont="1" applyFill="1" applyBorder="1">
      <alignment vertical="center"/>
    </xf>
    <xf numFmtId="188" fontId="12" fillId="0" borderId="186" xfId="2" applyNumberFormat="1" applyFont="1" applyFill="1" applyBorder="1">
      <alignment vertical="center"/>
    </xf>
    <xf numFmtId="177" fontId="12" fillId="0" borderId="56" xfId="0" applyNumberFormat="1" applyFont="1" applyFill="1" applyBorder="1" applyAlignment="1">
      <alignment vertical="center"/>
    </xf>
    <xf numFmtId="177" fontId="12" fillId="0" borderId="18" xfId="0" applyNumberFormat="1" applyFont="1" applyFill="1" applyBorder="1" applyAlignment="1">
      <alignment vertical="center"/>
    </xf>
    <xf numFmtId="188" fontId="12" fillId="0" borderId="187" xfId="2" applyNumberFormat="1" applyFont="1" applyFill="1" applyBorder="1">
      <alignment vertical="center"/>
    </xf>
    <xf numFmtId="188" fontId="12" fillId="0" borderId="188" xfId="2" applyNumberFormat="1" applyFont="1" applyFill="1" applyBorder="1">
      <alignment vertical="center"/>
    </xf>
    <xf numFmtId="188" fontId="12" fillId="0" borderId="189" xfId="2" applyNumberFormat="1" applyFont="1" applyFill="1" applyBorder="1">
      <alignment vertical="center"/>
    </xf>
    <xf numFmtId="188" fontId="12" fillId="0" borderId="190" xfId="2" applyNumberFormat="1" applyFont="1" applyFill="1" applyBorder="1">
      <alignment vertical="center"/>
    </xf>
    <xf numFmtId="188" fontId="12" fillId="0" borderId="191" xfId="2" applyNumberFormat="1" applyFont="1" applyFill="1" applyBorder="1">
      <alignment vertical="center"/>
    </xf>
    <xf numFmtId="186" fontId="12" fillId="0" borderId="192" xfId="0" applyNumberFormat="1" applyFont="1" applyBorder="1" applyAlignment="1">
      <alignment vertical="center"/>
    </xf>
    <xf numFmtId="188" fontId="12" fillId="0" borderId="193" xfId="2" applyNumberFormat="1" applyFont="1" applyFill="1" applyBorder="1">
      <alignment vertical="center"/>
    </xf>
    <xf numFmtId="188" fontId="12" fillId="0" borderId="194" xfId="2" applyNumberFormat="1" applyFont="1" applyFill="1" applyBorder="1">
      <alignment vertical="center"/>
    </xf>
    <xf numFmtId="186" fontId="12" fillId="0" borderId="195" xfId="0" applyNumberFormat="1" applyFont="1" applyBorder="1" applyAlignment="1">
      <alignment vertical="center"/>
    </xf>
    <xf numFmtId="188" fontId="12" fillId="0" borderId="196" xfId="2" applyNumberFormat="1" applyFont="1" applyFill="1" applyBorder="1">
      <alignment vertical="center"/>
    </xf>
    <xf numFmtId="188" fontId="12" fillId="0" borderId="197" xfId="2" applyNumberFormat="1" applyFont="1" applyFill="1" applyBorder="1">
      <alignment vertical="center"/>
    </xf>
    <xf numFmtId="186" fontId="12" fillId="0" borderId="198" xfId="0" applyNumberFormat="1" applyFont="1" applyBorder="1" applyAlignment="1">
      <alignment vertical="center"/>
    </xf>
    <xf numFmtId="9" fontId="12" fillId="0" borderId="18" xfId="1" applyFont="1" applyFill="1" applyBorder="1" applyAlignment="1">
      <alignment horizontal="center" vertical="center"/>
    </xf>
    <xf numFmtId="180" fontId="12" fillId="0" borderId="199" xfId="2" applyNumberFormat="1" applyFont="1" applyFill="1" applyBorder="1">
      <alignment vertical="center"/>
    </xf>
    <xf numFmtId="191" fontId="12" fillId="0" borderId="199" xfId="2" applyNumberFormat="1" applyFont="1" applyFill="1" applyBorder="1">
      <alignment vertical="center"/>
    </xf>
    <xf numFmtId="0" fontId="12" fillId="0" borderId="200" xfId="0" applyFont="1" applyBorder="1" applyAlignment="1">
      <alignment horizontal="center" vertical="center"/>
    </xf>
    <xf numFmtId="180" fontId="12" fillId="0" borderId="200" xfId="2" applyNumberFormat="1" applyFont="1" applyFill="1" applyBorder="1">
      <alignment vertical="center"/>
    </xf>
    <xf numFmtId="9" fontId="12" fillId="0" borderId="201" xfId="1" applyFont="1" applyFill="1" applyBorder="1" applyAlignment="1">
      <alignment horizontal="center" vertical="center"/>
    </xf>
    <xf numFmtId="193" fontId="12" fillId="0" borderId="62" xfId="2" applyNumberFormat="1" applyFont="1" applyFill="1" applyBorder="1">
      <alignment vertical="center"/>
    </xf>
    <xf numFmtId="41" fontId="12" fillId="0" borderId="37" xfId="2" applyNumberFormat="1" applyFont="1" applyFill="1" applyBorder="1">
      <alignment vertical="center"/>
    </xf>
    <xf numFmtId="189" fontId="31" fillId="2" borderId="18" xfId="7" applyNumberFormat="1" applyFont="1" applyFill="1" applyBorder="1" applyAlignment="1" applyProtection="1">
      <alignment vertical="top" wrapText="1"/>
      <protection locked="0"/>
    </xf>
    <xf numFmtId="0" fontId="0" fillId="2" borderId="18" xfId="0" quotePrefix="1" applyFill="1" applyBorder="1">
      <alignment vertical="center"/>
    </xf>
    <xf numFmtId="0" fontId="0" fillId="2" borderId="18" xfId="0" quotePrefix="1" applyFill="1" applyBorder="1" applyAlignment="1">
      <alignment vertical="center" wrapText="1"/>
    </xf>
    <xf numFmtId="210" fontId="0" fillId="2" borderId="18" xfId="0" quotePrefix="1" applyNumberFormat="1" applyFill="1" applyBorder="1">
      <alignment vertical="center"/>
    </xf>
    <xf numFmtId="0" fontId="0" fillId="2" borderId="18" xfId="0" quotePrefix="1" applyFill="1" applyBorder="1" applyAlignment="1">
      <alignment vertical="center" wrapText="1" shrinkToFit="1"/>
    </xf>
    <xf numFmtId="0" fontId="31" fillId="2" borderId="18" xfId="0" quotePrefix="1" applyFont="1" applyFill="1" applyBorder="1" applyAlignment="1">
      <alignment vertical="top"/>
    </xf>
    <xf numFmtId="3" fontId="65" fillId="2" borderId="18" xfId="0" applyNumberFormat="1" applyFont="1" applyFill="1" applyBorder="1" applyAlignment="1">
      <alignment vertical="top" wrapText="1"/>
    </xf>
    <xf numFmtId="0" fontId="31" fillId="2" borderId="18" xfId="0" quotePrefix="1" applyFont="1" applyFill="1" applyBorder="1" applyAlignment="1">
      <alignment vertical="top" wrapText="1"/>
    </xf>
    <xf numFmtId="0" fontId="31" fillId="0" borderId="31" xfId="7" applyFont="1" applyFill="1" applyBorder="1" applyAlignment="1">
      <alignment horizontal="center" vertical="center"/>
    </xf>
    <xf numFmtId="182" fontId="67" fillId="3" borderId="3" xfId="2" applyNumberFormat="1" applyFont="1" applyFill="1" applyBorder="1" applyAlignment="1">
      <alignment horizontal="center" vertical="center" wrapText="1"/>
    </xf>
    <xf numFmtId="183" fontId="67" fillId="3" borderId="4" xfId="2" applyNumberFormat="1" applyFont="1" applyFill="1" applyBorder="1" applyAlignment="1">
      <alignment horizontal="center" vertical="center" wrapText="1"/>
    </xf>
    <xf numFmtId="185" fontId="67" fillId="3" borderId="3" xfId="2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 shrinkToFit="1"/>
    </xf>
    <xf numFmtId="180" fontId="12" fillId="0" borderId="247" xfId="0" applyNumberFormat="1" applyFont="1" applyFill="1" applyBorder="1">
      <alignment vertical="center"/>
    </xf>
    <xf numFmtId="180" fontId="12" fillId="0" borderId="246" xfId="0" applyNumberFormat="1" applyFont="1" applyFill="1" applyBorder="1">
      <alignment vertical="center"/>
    </xf>
    <xf numFmtId="190" fontId="12" fillId="0" borderId="90" xfId="1" applyNumberFormat="1" applyFont="1" applyFill="1" applyBorder="1" applyAlignment="1">
      <alignment horizontal="center" vertical="center"/>
    </xf>
    <xf numFmtId="190" fontId="12" fillId="0" borderId="81" xfId="1" applyNumberFormat="1" applyFont="1" applyFill="1" applyBorder="1" applyAlignment="1">
      <alignment horizontal="center" vertical="center"/>
    </xf>
    <xf numFmtId="190" fontId="12" fillId="0" borderId="93" xfId="1" applyNumberFormat="1" applyFont="1" applyFill="1" applyBorder="1" applyAlignment="1">
      <alignment horizontal="center" vertical="center"/>
    </xf>
    <xf numFmtId="9" fontId="12" fillId="0" borderId="93" xfId="1" applyFont="1" applyFill="1" applyBorder="1" applyAlignment="1">
      <alignment horizontal="center" vertical="center"/>
    </xf>
    <xf numFmtId="190" fontId="12" fillId="0" borderId="94" xfId="1" applyNumberFormat="1" applyFont="1" applyFill="1" applyBorder="1" applyAlignment="1">
      <alignment horizontal="center" vertical="center"/>
    </xf>
    <xf numFmtId="190" fontId="12" fillId="0" borderId="70" xfId="1" applyNumberFormat="1" applyFont="1" applyFill="1" applyBorder="1" applyAlignment="1">
      <alignment horizontal="center" vertical="center"/>
    </xf>
    <xf numFmtId="190" fontId="12" fillId="0" borderId="30" xfId="1" applyNumberFormat="1" applyFont="1" applyFill="1" applyBorder="1" applyAlignment="1">
      <alignment horizontal="center" vertical="center"/>
    </xf>
    <xf numFmtId="190" fontId="12" fillId="0" borderId="248" xfId="1" applyNumberFormat="1" applyFont="1" applyFill="1" applyBorder="1" applyAlignment="1">
      <alignment horizontal="center" vertical="center"/>
    </xf>
    <xf numFmtId="190" fontId="12" fillId="0" borderId="3" xfId="1" applyNumberFormat="1" applyFont="1" applyFill="1" applyBorder="1" applyAlignment="1">
      <alignment horizontal="center" vertical="center"/>
    </xf>
    <xf numFmtId="190" fontId="12" fillId="0" borderId="36" xfId="1" applyNumberFormat="1" applyFont="1" applyFill="1" applyBorder="1" applyAlignment="1">
      <alignment horizontal="center" vertical="center"/>
    </xf>
    <xf numFmtId="9" fontId="12" fillId="0" borderId="36" xfId="1" applyFont="1" applyFill="1" applyBorder="1" applyAlignment="1">
      <alignment horizontal="center" vertical="center"/>
    </xf>
    <xf numFmtId="180" fontId="15" fillId="0" borderId="22" xfId="2" applyNumberFormat="1" applyFont="1" applyBorder="1" applyAlignment="1">
      <alignment horizontal="center" vertical="center" wrapText="1"/>
    </xf>
    <xf numFmtId="180" fontId="15" fillId="0" borderId="20" xfId="2" applyNumberFormat="1" applyFont="1" applyBorder="1" applyAlignment="1">
      <alignment horizontal="center" vertical="center" wrapText="1"/>
    </xf>
    <xf numFmtId="180" fontId="15" fillId="0" borderId="209" xfId="2" applyNumberFormat="1" applyFont="1" applyBorder="1" applyAlignment="1">
      <alignment horizontal="center" vertical="center" wrapText="1"/>
    </xf>
    <xf numFmtId="180" fontId="15" fillId="0" borderId="2" xfId="2" applyNumberFormat="1" applyFont="1" applyBorder="1" applyAlignment="1">
      <alignment horizontal="center" vertical="center" wrapText="1"/>
    </xf>
    <xf numFmtId="180" fontId="15" fillId="0" borderId="3" xfId="2" applyNumberFormat="1" applyFont="1" applyFill="1" applyBorder="1" applyAlignment="1">
      <alignment horizontal="center" vertical="center" wrapText="1"/>
    </xf>
    <xf numFmtId="180" fontId="15" fillId="0" borderId="3" xfId="2" applyNumberFormat="1" applyFont="1" applyBorder="1" applyAlignment="1">
      <alignment horizontal="center" vertical="center" wrapText="1"/>
    </xf>
    <xf numFmtId="0" fontId="16" fillId="0" borderId="3" xfId="2" applyNumberFormat="1" applyFont="1" applyBorder="1" applyAlignment="1">
      <alignment horizontal="center" vertical="center" wrapText="1"/>
    </xf>
    <xf numFmtId="0" fontId="33" fillId="0" borderId="18" xfId="7" applyFont="1" applyFill="1" applyBorder="1" applyAlignment="1">
      <alignment horizontal="center" vertical="center" wrapText="1"/>
    </xf>
    <xf numFmtId="49" fontId="33" fillId="0" borderId="18" xfId="7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80" fontId="15" fillId="0" borderId="18" xfId="2" applyNumberFormat="1" applyFont="1" applyBorder="1" applyAlignment="1">
      <alignment horizontal="center" vertical="center" wrapText="1"/>
    </xf>
    <xf numFmtId="180" fontId="15" fillId="0" borderId="205" xfId="2" applyNumberFormat="1" applyFont="1" applyBorder="1" applyAlignment="1">
      <alignment horizontal="left" vertical="center" wrapText="1"/>
    </xf>
    <xf numFmtId="180" fontId="15" fillId="0" borderId="206" xfId="2" applyNumberFormat="1" applyFont="1" applyBorder="1" applyAlignment="1">
      <alignment horizontal="left" vertical="center" wrapText="1"/>
    </xf>
    <xf numFmtId="180" fontId="15" fillId="0" borderId="7" xfId="2" applyNumberFormat="1" applyFont="1" applyBorder="1" applyAlignment="1">
      <alignment horizontal="center" vertical="center" wrapText="1"/>
    </xf>
    <xf numFmtId="0" fontId="15" fillId="0" borderId="4" xfId="2" applyNumberFormat="1" applyFont="1" applyFill="1" applyBorder="1" applyAlignment="1">
      <alignment horizontal="center" vertical="center" wrapText="1"/>
    </xf>
    <xf numFmtId="211" fontId="15" fillId="3" borderId="3" xfId="2" applyNumberFormat="1" applyFont="1" applyFill="1" applyBorder="1" applyAlignment="1">
      <alignment horizontal="center" vertical="center" wrapText="1"/>
    </xf>
    <xf numFmtId="189" fontId="15" fillId="4" borderId="3" xfId="2" applyNumberFormat="1" applyFont="1" applyFill="1" applyBorder="1" applyAlignment="1">
      <alignment horizontal="center" vertical="center" wrapText="1"/>
    </xf>
    <xf numFmtId="180" fontId="15" fillId="0" borderId="0" xfId="2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Border="1" applyAlignment="1">
      <alignment horizontal="left" vertical="center" wrapText="1"/>
    </xf>
    <xf numFmtId="9" fontId="15" fillId="0" borderId="0" xfId="1" applyNumberFormat="1" applyFont="1" applyFill="1" applyBorder="1" applyAlignment="1">
      <alignment horizontal="center" vertical="center" wrapText="1"/>
    </xf>
    <xf numFmtId="190" fontId="15" fillId="4" borderId="4" xfId="2" applyNumberFormat="1" applyFont="1" applyFill="1" applyBorder="1" applyAlignment="1">
      <alignment horizontal="center" vertical="center" wrapText="1"/>
    </xf>
    <xf numFmtId="199" fontId="15" fillId="3" borderId="2" xfId="2" applyNumberFormat="1" applyFont="1" applyFill="1" applyBorder="1" applyAlignment="1">
      <alignment horizontal="center" vertical="center" wrapText="1"/>
    </xf>
    <xf numFmtId="190" fontId="15" fillId="4" borderId="78" xfId="2" applyNumberFormat="1" applyFont="1" applyFill="1" applyBorder="1" applyAlignment="1">
      <alignment horizontal="center" vertical="center" wrapText="1"/>
    </xf>
    <xf numFmtId="190" fontId="15" fillId="4" borderId="205" xfId="2" applyNumberFormat="1" applyFont="1" applyFill="1" applyBorder="1" applyAlignment="1">
      <alignment horizontal="center" vertical="center" wrapText="1"/>
    </xf>
    <xf numFmtId="212" fontId="15" fillId="3" borderId="3" xfId="2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shrinkToFit="1"/>
    </xf>
    <xf numFmtId="191" fontId="12" fillId="2" borderId="32" xfId="2" applyNumberFormat="1" applyFont="1" applyFill="1" applyBorder="1" applyAlignment="1">
      <alignment vertical="center"/>
    </xf>
    <xf numFmtId="191" fontId="12" fillId="0" borderId="59" xfId="2" applyNumberFormat="1" applyFont="1" applyFill="1" applyBorder="1" applyAlignment="1">
      <alignment vertical="center"/>
    </xf>
    <xf numFmtId="191" fontId="12" fillId="0" borderId="0" xfId="0" applyNumberFormat="1" applyFont="1" applyFill="1" applyBorder="1" applyAlignment="1">
      <alignment vertical="center"/>
    </xf>
    <xf numFmtId="180" fontId="12" fillId="2" borderId="187" xfId="2" applyNumberFormat="1" applyFont="1" applyFill="1" applyBorder="1" applyAlignment="1">
      <alignment vertical="center"/>
    </xf>
    <xf numFmtId="191" fontId="47" fillId="2" borderId="188" xfId="0" applyNumberFormat="1" applyFont="1" applyFill="1" applyBorder="1" applyAlignment="1">
      <alignment horizontal="center" vertical="center" wrapText="1"/>
    </xf>
    <xf numFmtId="0" fontId="10" fillId="0" borderId="146" xfId="2" applyNumberFormat="1" applyFont="1" applyFill="1" applyBorder="1" applyAlignment="1">
      <alignment horizontal="center" vertical="center"/>
    </xf>
    <xf numFmtId="180" fontId="20" fillId="0" borderId="62" xfId="2" applyNumberFormat="1" applyFont="1" applyFill="1" applyBorder="1" applyAlignment="1">
      <alignment horizontal="center" vertical="center"/>
    </xf>
    <xf numFmtId="0" fontId="10" fillId="0" borderId="251" xfId="2" applyNumberFormat="1" applyFont="1" applyFill="1" applyBorder="1" applyAlignment="1">
      <alignment horizontal="center" vertical="center"/>
    </xf>
    <xf numFmtId="180" fontId="20" fillId="0" borderId="252" xfId="2" applyNumberFormat="1" applyFont="1" applyFill="1" applyBorder="1" applyAlignment="1">
      <alignment horizontal="center" vertical="center"/>
    </xf>
    <xf numFmtId="0" fontId="10" fillId="0" borderId="253" xfId="2" applyNumberFormat="1" applyFont="1" applyFill="1" applyBorder="1" applyAlignment="1">
      <alignment horizontal="center" vertical="center"/>
    </xf>
    <xf numFmtId="180" fontId="20" fillId="0" borderId="255" xfId="2" applyNumberFormat="1" applyFont="1" applyFill="1" applyBorder="1" applyAlignment="1">
      <alignment horizontal="center" vertical="center"/>
    </xf>
    <xf numFmtId="0" fontId="10" fillId="0" borderId="256" xfId="2" applyNumberFormat="1" applyFont="1" applyFill="1" applyBorder="1" applyAlignment="1">
      <alignment horizontal="center" vertical="center"/>
    </xf>
    <xf numFmtId="180" fontId="20" fillId="0" borderId="83" xfId="2" applyNumberFormat="1" applyFont="1" applyFill="1" applyBorder="1" applyAlignment="1">
      <alignment horizontal="center" vertical="center"/>
    </xf>
    <xf numFmtId="9" fontId="12" fillId="0" borderId="30" xfId="1" applyFont="1" applyFill="1" applyBorder="1" applyAlignment="1">
      <alignment horizontal="center" vertical="center"/>
    </xf>
    <xf numFmtId="0" fontId="0" fillId="2" borderId="18" xfId="0" quotePrefix="1" applyFill="1" applyBorder="1" applyAlignment="1">
      <alignment horizontal="center" vertical="center" wrapText="1"/>
    </xf>
    <xf numFmtId="14" fontId="31" fillId="2" borderId="18" xfId="7" applyNumberFormat="1" applyFont="1" applyFill="1" applyBorder="1" applyAlignment="1">
      <alignment horizontal="center" vertical="center" wrapText="1" shrinkToFit="1"/>
    </xf>
    <xf numFmtId="14" fontId="0" fillId="2" borderId="18" xfId="0" quotePrefix="1" applyNumberFormat="1" applyFill="1" applyBorder="1" applyAlignment="1">
      <alignment horizontal="center" vertical="center" wrapText="1" shrinkToFit="1"/>
    </xf>
    <xf numFmtId="210" fontId="0" fillId="2" borderId="18" xfId="0" quotePrefix="1" applyNumberFormat="1" applyFill="1" applyBorder="1" applyAlignment="1">
      <alignment horizontal="center" vertical="center"/>
    </xf>
    <xf numFmtId="9" fontId="31" fillId="8" borderId="18" xfId="2" applyNumberFormat="1" applyFont="1" applyFill="1" applyBorder="1" applyAlignment="1">
      <alignment horizontal="center" vertical="center" wrapText="1"/>
    </xf>
    <xf numFmtId="177" fontId="37" fillId="8" borderId="18" xfId="7" applyNumberFormat="1" applyFont="1" applyFill="1" applyBorder="1" applyAlignment="1">
      <alignment horizontal="center" vertical="center" wrapText="1"/>
    </xf>
    <xf numFmtId="0" fontId="33" fillId="0" borderId="104" xfId="7" applyFont="1" applyBorder="1" applyAlignment="1">
      <alignment vertical="center" wrapText="1"/>
    </xf>
    <xf numFmtId="0" fontId="33" fillId="0" borderId="155" xfId="7" applyFont="1" applyBorder="1" applyAlignment="1">
      <alignment vertical="center" wrapText="1"/>
    </xf>
    <xf numFmtId="41" fontId="31" fillId="2" borderId="18" xfId="2" applyFont="1" applyFill="1" applyBorder="1" applyAlignment="1" applyProtection="1">
      <alignment vertical="center" wrapText="1"/>
      <protection locked="0"/>
    </xf>
    <xf numFmtId="178" fontId="31" fillId="8" borderId="28" xfId="1" applyNumberFormat="1" applyFont="1" applyFill="1" applyBorder="1" applyAlignment="1">
      <alignment vertical="center" wrapText="1"/>
    </xf>
    <xf numFmtId="0" fontId="33" fillId="0" borderId="33" xfId="7" applyFont="1" applyBorder="1" applyAlignment="1">
      <alignment horizontal="center" vertical="center" wrapText="1"/>
    </xf>
    <xf numFmtId="0" fontId="28" fillId="0" borderId="33" xfId="7" applyFont="1" applyBorder="1" applyAlignment="1">
      <alignment horizontal="center" vertical="top" wrapText="1"/>
    </xf>
    <xf numFmtId="0" fontId="28" fillId="0" borderId="34" xfId="7" applyFont="1" applyBorder="1" applyAlignment="1">
      <alignment horizontal="center" vertical="center" wrapText="1"/>
    </xf>
    <xf numFmtId="198" fontId="12" fillId="0" borderId="133" xfId="2" applyNumberFormat="1" applyFont="1" applyFill="1" applyBorder="1" applyAlignment="1">
      <alignment horizontal="center" vertical="center"/>
    </xf>
    <xf numFmtId="198" fontId="12" fillId="0" borderId="125" xfId="2" applyNumberFormat="1" applyFont="1" applyFill="1" applyBorder="1" applyAlignment="1">
      <alignment horizontal="center" vertical="center"/>
    </xf>
    <xf numFmtId="198" fontId="12" fillId="0" borderId="129" xfId="2" applyNumberFormat="1" applyFont="1" applyFill="1" applyBorder="1" applyAlignment="1">
      <alignment horizontal="center" vertical="center"/>
    </xf>
    <xf numFmtId="213" fontId="12" fillId="0" borderId="18" xfId="2" applyNumberFormat="1" applyFont="1" applyFill="1" applyBorder="1" applyAlignment="1">
      <alignment horizontal="center" vertical="center"/>
    </xf>
    <xf numFmtId="214" fontId="12" fillId="9" borderId="18" xfId="2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198" fontId="12" fillId="0" borderId="114" xfId="2" applyNumberFormat="1" applyFont="1" applyFill="1" applyBorder="1" applyAlignment="1">
      <alignment horizontal="center" vertical="center"/>
    </xf>
    <xf numFmtId="214" fontId="13" fillId="9" borderId="82" xfId="2" applyNumberFormat="1" applyFont="1" applyFill="1" applyBorder="1" applyAlignment="1">
      <alignment horizontal="center" vertical="center"/>
    </xf>
    <xf numFmtId="190" fontId="12" fillId="0" borderId="47" xfId="1" applyNumberFormat="1" applyFont="1" applyFill="1" applyBorder="1" applyAlignment="1">
      <alignment horizontal="center" vertical="center"/>
    </xf>
    <xf numFmtId="190" fontId="12" fillId="0" borderId="261" xfId="1" applyNumberFormat="1" applyFont="1" applyFill="1" applyBorder="1" applyAlignment="1">
      <alignment horizontal="center" vertical="center"/>
    </xf>
    <xf numFmtId="190" fontId="12" fillId="0" borderId="50" xfId="1" applyNumberFormat="1" applyFont="1" applyFill="1" applyBorder="1" applyAlignment="1">
      <alignment horizontal="center" vertical="center"/>
    </xf>
    <xf numFmtId="10" fontId="12" fillId="0" borderId="18" xfId="2" applyNumberFormat="1" applyFont="1" applyFill="1" applyBorder="1">
      <alignment vertical="center"/>
    </xf>
    <xf numFmtId="3" fontId="12" fillId="0" borderId="18" xfId="0" applyNumberFormat="1" applyFont="1" applyBorder="1" applyAlignment="1">
      <alignment horizontal="center" vertical="center"/>
    </xf>
    <xf numFmtId="0" fontId="12" fillId="0" borderId="20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207" fontId="10" fillId="0" borderId="0" xfId="0" applyNumberFormat="1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shrinkToFit="1"/>
    </xf>
    <xf numFmtId="0" fontId="11" fillId="4" borderId="262" xfId="0" applyFont="1" applyFill="1" applyBorder="1" applyAlignment="1">
      <alignment horizontal="center" vertical="center" shrinkToFit="1"/>
    </xf>
    <xf numFmtId="0" fontId="11" fillId="4" borderId="162" xfId="0" applyFont="1" applyFill="1" applyBorder="1" applyAlignment="1">
      <alignment horizontal="center" vertical="center" shrinkToFit="1"/>
    </xf>
    <xf numFmtId="0" fontId="11" fillId="0" borderId="264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180" fontId="11" fillId="0" borderId="265" xfId="2" applyNumberFormat="1" applyFont="1" applyFill="1" applyBorder="1" applyAlignment="1">
      <alignment horizontal="center" vertical="center"/>
    </xf>
    <xf numFmtId="180" fontId="11" fillId="0" borderId="266" xfId="2" applyNumberFormat="1" applyFont="1" applyFill="1" applyBorder="1" applyAlignment="1">
      <alignment horizontal="center" vertical="center"/>
    </xf>
    <xf numFmtId="180" fontId="11" fillId="0" borderId="267" xfId="2" applyNumberFormat="1" applyFont="1" applyFill="1" applyBorder="1" applyAlignment="1">
      <alignment horizontal="center" vertical="center"/>
    </xf>
    <xf numFmtId="179" fontId="11" fillId="0" borderId="268" xfId="2" applyNumberFormat="1" applyFont="1" applyFill="1" applyBorder="1" applyAlignment="1">
      <alignment horizontal="center" vertical="center"/>
    </xf>
    <xf numFmtId="179" fontId="11" fillId="0" borderId="269" xfId="2" applyNumberFormat="1" applyFont="1" applyFill="1" applyBorder="1" applyAlignment="1">
      <alignment horizontal="center" vertical="center"/>
    </xf>
    <xf numFmtId="180" fontId="11" fillId="0" borderId="270" xfId="2" applyNumberFormat="1" applyFont="1" applyFill="1" applyBorder="1" applyAlignment="1">
      <alignment horizontal="center" vertical="center"/>
    </xf>
    <xf numFmtId="0" fontId="11" fillId="0" borderId="271" xfId="0" applyFont="1" applyBorder="1" applyAlignment="1">
      <alignment horizontal="center" vertical="center" wrapText="1"/>
    </xf>
    <xf numFmtId="0" fontId="11" fillId="0" borderId="204" xfId="0" applyFont="1" applyBorder="1" applyAlignment="1">
      <alignment horizontal="center" vertical="center" wrapText="1"/>
    </xf>
    <xf numFmtId="180" fontId="44" fillId="6" borderId="231" xfId="2" applyNumberFormat="1" applyFont="1" applyFill="1" applyBorder="1" applyAlignment="1">
      <alignment horizontal="center" vertical="center"/>
    </xf>
    <xf numFmtId="180" fontId="11" fillId="0" borderId="58" xfId="2" applyNumberFormat="1" applyFont="1" applyFill="1" applyBorder="1" applyAlignment="1">
      <alignment horizontal="center" vertical="center"/>
    </xf>
    <xf numFmtId="180" fontId="44" fillId="9" borderId="64" xfId="2" applyNumberFormat="1" applyFont="1" applyFill="1" applyBorder="1" applyAlignment="1">
      <alignment horizontal="center" vertical="center"/>
    </xf>
    <xf numFmtId="180" fontId="11" fillId="0" borderId="283" xfId="2" applyNumberFormat="1" applyFont="1" applyFill="1" applyBorder="1" applyAlignment="1">
      <alignment horizontal="center" vertical="center"/>
    </xf>
    <xf numFmtId="180" fontId="44" fillId="9" borderId="34" xfId="2" applyNumberFormat="1" applyFont="1" applyFill="1" applyBorder="1" applyAlignment="1">
      <alignment horizontal="center" vertical="center"/>
    </xf>
    <xf numFmtId="216" fontId="68" fillId="0" borderId="63" xfId="0" applyNumberFormat="1" applyFont="1" applyBorder="1" applyAlignment="1">
      <alignment horizontal="center" vertical="center"/>
    </xf>
    <xf numFmtId="217" fontId="68" fillId="0" borderId="101" xfId="0" applyNumberFormat="1" applyFont="1" applyBorder="1" applyAlignment="1">
      <alignment horizontal="center" vertical="center"/>
    </xf>
    <xf numFmtId="216" fontId="68" fillId="0" borderId="284" xfId="0" applyNumberFormat="1" applyFont="1" applyBorder="1" applyAlignment="1">
      <alignment horizontal="center" vertical="center"/>
    </xf>
    <xf numFmtId="216" fontId="68" fillId="0" borderId="0" xfId="0" applyNumberFormat="1" applyFont="1" applyBorder="1" applyAlignment="1">
      <alignment horizontal="center" vertical="center"/>
    </xf>
    <xf numFmtId="199" fontId="68" fillId="0" borderId="0" xfId="0" applyNumberFormat="1" applyFont="1" applyBorder="1" applyAlignment="1">
      <alignment horizontal="center" vertical="center"/>
    </xf>
    <xf numFmtId="176" fontId="4" fillId="0" borderId="284" xfId="0" applyNumberFormat="1" applyFont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 shrinkToFit="1"/>
    </xf>
    <xf numFmtId="0" fontId="11" fillId="10" borderId="163" xfId="0" applyFont="1" applyFill="1" applyBorder="1" applyAlignment="1">
      <alignment horizontal="center" vertical="center" shrinkToFit="1"/>
    </xf>
    <xf numFmtId="0" fontId="11" fillId="10" borderId="263" xfId="0" applyFont="1" applyFill="1" applyBorder="1" applyAlignment="1">
      <alignment horizontal="center" vertical="center" shrinkToFit="1"/>
    </xf>
    <xf numFmtId="180" fontId="11" fillId="0" borderId="191" xfId="2" applyNumberFormat="1" applyFont="1" applyFill="1" applyBorder="1" applyAlignment="1">
      <alignment horizontal="center" vertical="center"/>
    </xf>
    <xf numFmtId="176" fontId="12" fillId="2" borderId="18" xfId="1" applyNumberFormat="1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left" vertical="center" wrapText="1"/>
    </xf>
    <xf numFmtId="49" fontId="30" fillId="0" borderId="0" xfId="0" applyNumberFormat="1" applyFont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9" fillId="2" borderId="210" xfId="0" applyFont="1" applyFill="1" applyBorder="1" applyAlignment="1">
      <alignment horizontal="center" vertical="center" wrapText="1"/>
    </xf>
    <xf numFmtId="0" fontId="9" fillId="2" borderId="211" xfId="0" applyFont="1" applyFill="1" applyBorder="1" applyAlignment="1">
      <alignment horizontal="center" vertical="center" wrapText="1"/>
    </xf>
    <xf numFmtId="0" fontId="9" fillId="2" borderId="212" xfId="0" applyFont="1" applyFill="1" applyBorder="1" applyAlignment="1">
      <alignment horizontal="center" vertical="center" wrapText="1"/>
    </xf>
    <xf numFmtId="0" fontId="15" fillId="4" borderId="4" xfId="2" applyNumberFormat="1" applyFont="1" applyFill="1" applyBorder="1" applyAlignment="1">
      <alignment horizontal="left" vertical="center" wrapText="1"/>
    </xf>
    <xf numFmtId="0" fontId="15" fillId="4" borderId="8" xfId="2" applyNumberFormat="1" applyFont="1" applyFill="1" applyBorder="1" applyAlignment="1">
      <alignment horizontal="left" vertical="center" wrapText="1"/>
    </xf>
    <xf numFmtId="0" fontId="15" fillId="4" borderId="80" xfId="2" applyNumberFormat="1" applyFont="1" applyFill="1" applyBorder="1" applyAlignment="1">
      <alignment horizontal="left" vertical="center" wrapText="1"/>
    </xf>
    <xf numFmtId="187" fontId="17" fillId="4" borderId="213" xfId="2" applyNumberFormat="1" applyFont="1" applyFill="1" applyBorder="1" applyAlignment="1">
      <alignment horizontal="center" vertical="center"/>
    </xf>
    <xf numFmtId="187" fontId="17" fillId="4" borderId="214" xfId="2" applyNumberFormat="1" applyFont="1" applyFill="1" applyBorder="1" applyAlignment="1">
      <alignment horizontal="center" vertical="center"/>
    </xf>
    <xf numFmtId="187" fontId="17" fillId="4" borderId="215" xfId="2" applyNumberFormat="1" applyFont="1" applyFill="1" applyBorder="1" applyAlignment="1">
      <alignment horizontal="center" vertical="center"/>
    </xf>
    <xf numFmtId="0" fontId="16" fillId="0" borderId="3" xfId="2" applyNumberFormat="1" applyFont="1" applyBorder="1" applyAlignment="1">
      <alignment horizontal="center" vertical="center" wrapText="1"/>
    </xf>
    <xf numFmtId="180" fontId="15" fillId="0" borderId="78" xfId="2" applyNumberFormat="1" applyFont="1" applyFill="1" applyBorder="1" applyAlignment="1">
      <alignment horizontal="center" vertical="center" wrapText="1"/>
    </xf>
    <xf numFmtId="180" fontId="15" fillId="0" borderId="2" xfId="2" applyNumberFormat="1" applyFont="1" applyFill="1" applyBorder="1" applyAlignment="1">
      <alignment horizontal="center" vertical="center" wrapText="1"/>
    </xf>
    <xf numFmtId="0" fontId="16" fillId="0" borderId="3" xfId="2" applyNumberFormat="1" applyFont="1" applyFill="1" applyBorder="1" applyAlignment="1">
      <alignment horizontal="center" vertical="center" wrapText="1"/>
    </xf>
    <xf numFmtId="0" fontId="16" fillId="0" borderId="78" xfId="2" applyNumberFormat="1" applyFont="1" applyBorder="1" applyAlignment="1">
      <alignment horizontal="center" vertical="center" wrapText="1"/>
    </xf>
    <xf numFmtId="0" fontId="16" fillId="0" borderId="2" xfId="2" applyNumberFormat="1" applyFont="1" applyBorder="1" applyAlignment="1">
      <alignment horizontal="center" vertical="center" wrapText="1"/>
    </xf>
    <xf numFmtId="0" fontId="16" fillId="0" borderId="78" xfId="2" applyNumberFormat="1" applyFont="1" applyFill="1" applyBorder="1" applyAlignment="1">
      <alignment horizontal="center" vertical="center" wrapText="1"/>
    </xf>
    <xf numFmtId="0" fontId="16" fillId="0" borderId="20" xfId="2" applyNumberFormat="1" applyFont="1" applyFill="1" applyBorder="1" applyAlignment="1">
      <alignment horizontal="center" vertical="center" wrapText="1"/>
    </xf>
    <xf numFmtId="0" fontId="16" fillId="0" borderId="2" xfId="2" applyNumberFormat="1" applyFont="1" applyFill="1" applyBorder="1" applyAlignment="1">
      <alignment horizontal="center" vertical="center" wrapText="1"/>
    </xf>
    <xf numFmtId="0" fontId="16" fillId="0" borderId="20" xfId="2" applyNumberFormat="1" applyFont="1" applyBorder="1" applyAlignment="1">
      <alignment horizontal="center" vertical="center" wrapText="1"/>
    </xf>
    <xf numFmtId="180" fontId="15" fillId="0" borderId="78" xfId="2" applyNumberFormat="1" applyFont="1" applyBorder="1" applyAlignment="1">
      <alignment horizontal="center" vertical="center" wrapText="1"/>
    </xf>
    <xf numFmtId="180" fontId="15" fillId="0" borderId="2" xfId="2" applyNumberFormat="1" applyFont="1" applyBorder="1" applyAlignment="1">
      <alignment horizontal="center" vertical="center" wrapText="1"/>
    </xf>
    <xf numFmtId="180" fontId="14" fillId="0" borderId="59" xfId="2" applyNumberFormat="1" applyFont="1" applyBorder="1" applyAlignment="1">
      <alignment horizontal="left" vertical="center" wrapText="1"/>
    </xf>
    <xf numFmtId="180" fontId="14" fillId="0" borderId="0" xfId="2" applyNumberFormat="1" applyFont="1" applyBorder="1" applyAlignment="1">
      <alignment horizontal="left" vertical="center" wrapText="1"/>
    </xf>
    <xf numFmtId="180" fontId="15" fillId="0" borderId="208" xfId="2" applyNumberFormat="1" applyFont="1" applyBorder="1" applyAlignment="1">
      <alignment horizontal="center" vertical="center" wrapText="1"/>
    </xf>
    <xf numFmtId="180" fontId="15" fillId="0" borderId="65" xfId="2" applyNumberFormat="1" applyFont="1" applyBorder="1" applyAlignment="1">
      <alignment horizontal="center" vertical="center" wrapText="1"/>
    </xf>
    <xf numFmtId="180" fontId="15" fillId="0" borderId="156" xfId="2" applyNumberFormat="1" applyFont="1" applyBorder="1" applyAlignment="1">
      <alignment horizontal="center" vertical="center" wrapText="1"/>
    </xf>
    <xf numFmtId="180" fontId="15" fillId="0" borderId="0" xfId="2" applyNumberFormat="1" applyFont="1" applyBorder="1" applyAlignment="1">
      <alignment horizontal="right" vertical="center"/>
    </xf>
    <xf numFmtId="180" fontId="15" fillId="0" borderId="207" xfId="2" applyNumberFormat="1" applyFont="1" applyFill="1" applyBorder="1" applyAlignment="1">
      <alignment horizontal="center" vertical="center" wrapText="1"/>
    </xf>
    <xf numFmtId="180" fontId="15" fillId="0" borderId="22" xfId="2" applyNumberFormat="1" applyFont="1" applyFill="1" applyBorder="1" applyAlignment="1">
      <alignment horizontal="center" vertical="center" wrapText="1"/>
    </xf>
    <xf numFmtId="180" fontId="15" fillId="0" borderId="209" xfId="2" applyNumberFormat="1" applyFont="1" applyFill="1" applyBorder="1" applyAlignment="1">
      <alignment horizontal="center" vertical="center" wrapText="1"/>
    </xf>
    <xf numFmtId="180" fontId="15" fillId="0" borderId="3" xfId="2" applyNumberFormat="1" applyFont="1" applyFill="1" applyBorder="1" applyAlignment="1">
      <alignment horizontal="center" vertical="center" wrapText="1"/>
    </xf>
    <xf numFmtId="180" fontId="17" fillId="3" borderId="204" xfId="2" applyNumberFormat="1" applyFont="1" applyFill="1" applyBorder="1" applyAlignment="1">
      <alignment horizontal="center" vertical="center" wrapText="1"/>
    </xf>
    <xf numFmtId="180" fontId="17" fillId="3" borderId="19" xfId="2" applyNumberFormat="1" applyFont="1" applyFill="1" applyBorder="1" applyAlignment="1">
      <alignment horizontal="center" vertical="center" wrapText="1"/>
    </xf>
    <xf numFmtId="180" fontId="16" fillId="0" borderId="114" xfId="2" applyNumberFormat="1" applyFont="1" applyBorder="1" applyAlignment="1">
      <alignment horizontal="center" vertical="center" wrapText="1"/>
    </xf>
    <xf numFmtId="180" fontId="15" fillId="0" borderId="4" xfId="2" applyNumberFormat="1" applyFont="1" applyBorder="1" applyAlignment="1">
      <alignment horizontal="left" vertical="center" wrapText="1"/>
    </xf>
    <xf numFmtId="180" fontId="15" fillId="0" borderId="8" xfId="2" applyNumberFormat="1" applyFont="1" applyBorder="1" applyAlignment="1">
      <alignment horizontal="left" vertical="center" wrapText="1"/>
    </xf>
    <xf numFmtId="0" fontId="15" fillId="5" borderId="205" xfId="2" applyNumberFormat="1" applyFont="1" applyFill="1" applyBorder="1" applyAlignment="1">
      <alignment horizontal="center" vertical="center" wrapText="1"/>
    </xf>
    <xf numFmtId="0" fontId="15" fillId="5" borderId="206" xfId="2" applyNumberFormat="1" applyFont="1" applyFill="1" applyBorder="1" applyAlignment="1">
      <alignment horizontal="center" vertical="center" wrapText="1"/>
    </xf>
    <xf numFmtId="0" fontId="15" fillId="5" borderId="160" xfId="2" applyNumberFormat="1" applyFont="1" applyFill="1" applyBorder="1" applyAlignment="1">
      <alignment horizontal="center" vertical="center" wrapText="1"/>
    </xf>
    <xf numFmtId="0" fontId="15" fillId="5" borderId="7" xfId="2" applyNumberFormat="1" applyFont="1" applyFill="1" applyBorder="1" applyAlignment="1">
      <alignment horizontal="center" vertical="center" wrapText="1"/>
    </xf>
    <xf numFmtId="0" fontId="15" fillId="5" borderId="203" xfId="2" applyNumberFormat="1" applyFont="1" applyFill="1" applyBorder="1" applyAlignment="1">
      <alignment horizontal="center" vertical="center" wrapText="1"/>
    </xf>
    <xf numFmtId="0" fontId="15" fillId="5" borderId="209" xfId="2" applyNumberFormat="1" applyFont="1" applyFill="1" applyBorder="1" applyAlignment="1">
      <alignment horizontal="center" vertical="center" wrapText="1"/>
    </xf>
    <xf numFmtId="180" fontId="15" fillId="0" borderId="3" xfId="2" applyNumberFormat="1" applyFont="1" applyBorder="1" applyAlignment="1">
      <alignment horizontal="center" vertical="center" wrapText="1"/>
    </xf>
    <xf numFmtId="180" fontId="16" fillId="0" borderId="80" xfId="2" applyNumberFormat="1" applyFont="1" applyBorder="1" applyAlignment="1">
      <alignment horizontal="center" vertical="center" wrapText="1"/>
    </xf>
    <xf numFmtId="180" fontId="16" fillId="0" borderId="3" xfId="2" applyNumberFormat="1" applyFont="1" applyBorder="1" applyAlignment="1">
      <alignment horizontal="center" vertical="center" wrapText="1"/>
    </xf>
    <xf numFmtId="180" fontId="15" fillId="0" borderId="160" xfId="2" applyNumberFormat="1" applyFont="1" applyBorder="1" applyAlignment="1">
      <alignment horizontal="center" vertical="center" wrapText="1"/>
    </xf>
    <xf numFmtId="180" fontId="15" fillId="0" borderId="209" xfId="2" applyNumberFormat="1" applyFont="1" applyBorder="1" applyAlignment="1">
      <alignment horizontal="center" vertical="center" wrapText="1"/>
    </xf>
    <xf numFmtId="180" fontId="15" fillId="0" borderId="20" xfId="2" applyNumberFormat="1" applyFont="1" applyBorder="1" applyAlignment="1">
      <alignment horizontal="center" vertical="center" wrapText="1"/>
    </xf>
    <xf numFmtId="180" fontId="15" fillId="0" borderId="22" xfId="2" applyNumberFormat="1" applyFont="1" applyBorder="1" applyAlignment="1">
      <alignment horizontal="center" vertical="center" wrapText="1"/>
    </xf>
    <xf numFmtId="180" fontId="15" fillId="0" borderId="160" xfId="2" applyNumberFormat="1" applyFont="1" applyFill="1" applyBorder="1" applyAlignment="1">
      <alignment horizontal="center" vertical="center" wrapText="1"/>
    </xf>
    <xf numFmtId="180" fontId="15" fillId="0" borderId="20" xfId="2" applyNumberFormat="1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43" fontId="13" fillId="6" borderId="93" xfId="2" applyNumberFormat="1" applyFont="1" applyFill="1" applyBorder="1" applyAlignment="1">
      <alignment horizontal="center" vertical="center"/>
    </xf>
    <xf numFmtId="43" fontId="13" fillId="6" borderId="30" xfId="2" applyNumberFormat="1" applyFont="1" applyFill="1" applyBorder="1" applyAlignment="1">
      <alignment horizontal="center" vertical="center"/>
    </xf>
    <xf numFmtId="43" fontId="13" fillId="6" borderId="62" xfId="0" applyNumberFormat="1" applyFont="1" applyFill="1" applyBorder="1" applyAlignment="1">
      <alignment horizontal="center" vertical="center"/>
    </xf>
    <xf numFmtId="43" fontId="13" fillId="6" borderId="30" xfId="0" applyNumberFormat="1" applyFont="1" applyFill="1" applyBorder="1" applyAlignment="1">
      <alignment horizontal="center" vertical="center"/>
    </xf>
    <xf numFmtId="43" fontId="13" fillId="6" borderId="93" xfId="0" applyNumberFormat="1" applyFont="1" applyFill="1" applyBorder="1" applyAlignment="1">
      <alignment horizontal="center" vertical="center"/>
    </xf>
    <xf numFmtId="0" fontId="12" fillId="4" borderId="93" xfId="0" applyFont="1" applyFill="1" applyBorder="1" applyAlignment="1">
      <alignment horizontal="center" vertical="center" wrapText="1"/>
    </xf>
    <xf numFmtId="180" fontId="10" fillId="0" borderId="18" xfId="2" applyNumberFormat="1" applyFont="1" applyFill="1" applyBorder="1" applyAlignment="1">
      <alignment horizontal="center" vertical="center"/>
    </xf>
    <xf numFmtId="177" fontId="10" fillId="0" borderId="18" xfId="2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20" fillId="0" borderId="249" xfId="0" applyFont="1" applyFill="1" applyBorder="1" applyAlignment="1">
      <alignment horizontal="center" vertical="center"/>
    </xf>
    <xf numFmtId="0" fontId="20" fillId="0" borderId="250" xfId="0" applyFont="1" applyFill="1" applyBorder="1" applyAlignment="1">
      <alignment horizontal="center" vertical="center"/>
    </xf>
    <xf numFmtId="0" fontId="20" fillId="0" borderId="221" xfId="0" applyFont="1" applyFill="1" applyBorder="1" applyAlignment="1">
      <alignment horizontal="center" vertical="center" wrapText="1"/>
    </xf>
    <xf numFmtId="0" fontId="20" fillId="0" borderId="220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20" fillId="0" borderId="57" xfId="0" applyFont="1" applyFill="1" applyBorder="1" applyAlignment="1">
      <alignment horizontal="center" vertical="center"/>
    </xf>
    <xf numFmtId="0" fontId="20" fillId="0" borderId="227" xfId="0" applyFont="1" applyFill="1" applyBorder="1" applyAlignment="1">
      <alignment horizontal="center" vertical="center"/>
    </xf>
    <xf numFmtId="0" fontId="20" fillId="0" borderId="182" xfId="0" applyFont="1" applyFill="1" applyBorder="1" applyAlignment="1">
      <alignment horizontal="center" vertical="center" wrapText="1"/>
    </xf>
    <xf numFmtId="0" fontId="20" fillId="0" borderId="132" xfId="0" applyFont="1" applyFill="1" applyBorder="1" applyAlignment="1">
      <alignment horizontal="center" vertical="center"/>
    </xf>
    <xf numFmtId="0" fontId="20" fillId="0" borderId="87" xfId="0" applyFont="1" applyFill="1" applyBorder="1" applyAlignment="1">
      <alignment horizontal="center" vertical="center"/>
    </xf>
    <xf numFmtId="0" fontId="20" fillId="0" borderId="98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20" fillId="0" borderId="220" xfId="0" applyFont="1" applyFill="1" applyBorder="1" applyAlignment="1">
      <alignment horizontal="center" vertical="center"/>
    </xf>
    <xf numFmtId="0" fontId="20" fillId="0" borderId="223" xfId="0" applyFont="1" applyFill="1" applyBorder="1" applyAlignment="1">
      <alignment horizontal="center" vertical="center"/>
    </xf>
    <xf numFmtId="0" fontId="20" fillId="0" borderId="224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16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0" fillId="0" borderId="116" xfId="0" applyBorder="1">
      <alignment vertical="center"/>
    </xf>
    <xf numFmtId="0" fontId="20" fillId="0" borderId="182" xfId="0" applyFont="1" applyFill="1" applyBorder="1" applyAlignment="1">
      <alignment horizontal="center" vertical="center"/>
    </xf>
    <xf numFmtId="0" fontId="10" fillId="0" borderId="120" xfId="0" applyFont="1" applyFill="1" applyBorder="1" applyAlignment="1">
      <alignment horizontal="center" vertical="center"/>
    </xf>
    <xf numFmtId="0" fontId="10" fillId="0" borderId="225" xfId="0" applyFont="1" applyFill="1" applyBorder="1" applyAlignment="1">
      <alignment horizontal="center" vertical="center"/>
    </xf>
    <xf numFmtId="0" fontId="10" fillId="0" borderId="146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202" xfId="0" applyFont="1" applyFill="1" applyBorder="1" applyAlignment="1">
      <alignment horizontal="center" vertical="center"/>
    </xf>
    <xf numFmtId="0" fontId="10" fillId="0" borderId="226" xfId="0" applyFont="1" applyFill="1" applyBorder="1" applyAlignment="1">
      <alignment horizontal="center" vertical="center"/>
    </xf>
    <xf numFmtId="0" fontId="10" fillId="0" borderId="93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20" fillId="0" borderId="253" xfId="0" applyFont="1" applyFill="1" applyBorder="1" applyAlignment="1">
      <alignment horizontal="center" vertical="center"/>
    </xf>
    <xf numFmtId="0" fontId="20" fillId="0" borderId="254" xfId="0" applyFont="1" applyFill="1" applyBorder="1" applyAlignment="1">
      <alignment horizontal="center" vertical="center"/>
    </xf>
    <xf numFmtId="0" fontId="20" fillId="0" borderId="256" xfId="0" applyFont="1" applyFill="1" applyBorder="1" applyAlignment="1">
      <alignment horizontal="center" vertical="center"/>
    </xf>
    <xf numFmtId="0" fontId="20" fillId="0" borderId="257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18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10" fillId="0" borderId="93" xfId="0" applyFont="1" applyFill="1" applyBorder="1" applyAlignment="1">
      <alignment horizontal="center" vertical="center" wrapText="1"/>
    </xf>
    <xf numFmtId="0" fontId="20" fillId="0" borderId="219" xfId="0" applyFont="1" applyFill="1" applyBorder="1" applyAlignment="1">
      <alignment horizontal="center" vertical="center"/>
    </xf>
    <xf numFmtId="0" fontId="20" fillId="0" borderId="176" xfId="0" applyFont="1" applyFill="1" applyBorder="1" applyAlignment="1">
      <alignment horizontal="center" vertical="center"/>
    </xf>
    <xf numFmtId="0" fontId="20" fillId="0" borderId="221" xfId="0" applyFont="1" applyFill="1" applyBorder="1" applyAlignment="1">
      <alignment horizontal="center" vertical="center"/>
    </xf>
    <xf numFmtId="0" fontId="20" fillId="0" borderId="119" xfId="0" applyFont="1" applyFill="1" applyBorder="1" applyAlignment="1">
      <alignment horizontal="left" vertical="center" wrapText="1"/>
    </xf>
    <xf numFmtId="0" fontId="10" fillId="0" borderId="119" xfId="0" applyFont="1" applyFill="1" applyBorder="1" applyAlignment="1">
      <alignment horizontal="center" vertical="center"/>
    </xf>
    <xf numFmtId="0" fontId="20" fillId="0" borderId="222" xfId="0" applyFont="1" applyFill="1" applyBorder="1" applyAlignment="1">
      <alignment horizontal="center" vertical="center"/>
    </xf>
    <xf numFmtId="0" fontId="20" fillId="0" borderId="134" xfId="0" applyFont="1" applyFill="1" applyBorder="1" applyAlignment="1">
      <alignment horizontal="center" vertical="center" wrapText="1"/>
    </xf>
    <xf numFmtId="0" fontId="20" fillId="0" borderId="16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11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54" xfId="0" applyFont="1" applyFill="1" applyBorder="1" applyAlignment="1">
      <alignment horizontal="center" vertical="center"/>
    </xf>
    <xf numFmtId="0" fontId="10" fillId="4" borderId="157" xfId="0" applyFont="1" applyFill="1" applyBorder="1" applyAlignment="1">
      <alignment horizontal="center" vertical="center"/>
    </xf>
    <xf numFmtId="0" fontId="10" fillId="4" borderId="216" xfId="0" applyFont="1" applyFill="1" applyBorder="1" applyAlignment="1">
      <alignment horizontal="center" vertical="center"/>
    </xf>
    <xf numFmtId="0" fontId="10" fillId="4" borderId="93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199" xfId="0" applyFont="1" applyFill="1" applyBorder="1" applyAlignment="1">
      <alignment horizontal="center" vertical="center"/>
    </xf>
    <xf numFmtId="0" fontId="10" fillId="4" borderId="217" xfId="0" applyFont="1" applyFill="1" applyBorder="1" applyAlignment="1">
      <alignment horizontal="center" vertical="center"/>
    </xf>
    <xf numFmtId="0" fontId="10" fillId="0" borderId="120" xfId="0" applyFont="1" applyFill="1" applyBorder="1" applyAlignment="1">
      <alignment horizontal="center" vertical="center" wrapText="1"/>
    </xf>
    <xf numFmtId="0" fontId="10" fillId="0" borderId="146" xfId="0" applyFont="1" applyFill="1" applyBorder="1" applyAlignment="1">
      <alignment horizontal="center" vertical="center" wrapText="1"/>
    </xf>
    <xf numFmtId="0" fontId="10" fillId="0" borderId="202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134" xfId="0" applyFont="1" applyFill="1" applyBorder="1" applyAlignment="1">
      <alignment horizontal="center" vertical="center"/>
    </xf>
    <xf numFmtId="0" fontId="20" fillId="0" borderId="161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left" vertical="center"/>
    </xf>
    <xf numFmtId="0" fontId="20" fillId="0" borderId="62" xfId="0" applyFont="1" applyFill="1" applyBorder="1" applyAlignment="1">
      <alignment horizontal="center" vertical="center" wrapText="1"/>
    </xf>
    <xf numFmtId="0" fontId="20" fillId="0" borderId="202" xfId="0" applyFont="1" applyFill="1" applyBorder="1" applyAlignment="1">
      <alignment horizontal="center" vertical="center"/>
    </xf>
    <xf numFmtId="0" fontId="20" fillId="0" borderId="226" xfId="0" applyFont="1" applyFill="1" applyBorder="1" applyAlignment="1">
      <alignment horizontal="center" vertical="center"/>
    </xf>
    <xf numFmtId="0" fontId="33" fillId="0" borderId="104" xfId="7" applyFont="1" applyBorder="1" applyAlignment="1">
      <alignment horizontal="center" vertical="center" wrapText="1"/>
    </xf>
    <xf numFmtId="0" fontId="33" fillId="0" borderId="155" xfId="7" applyFont="1" applyBorder="1" applyAlignment="1">
      <alignment horizontal="center" vertical="center" wrapText="1"/>
    </xf>
    <xf numFmtId="0" fontId="31" fillId="0" borderId="158" xfId="7" applyFont="1" applyFill="1" applyBorder="1" applyAlignment="1">
      <alignment horizontal="center" vertical="center" wrapText="1"/>
    </xf>
    <xf numFmtId="0" fontId="31" fillId="0" borderId="114" xfId="7" applyFont="1" applyFill="1" applyBorder="1" applyAlignment="1">
      <alignment horizontal="center" vertical="center" wrapText="1"/>
    </xf>
    <xf numFmtId="0" fontId="31" fillId="0" borderId="116" xfId="7" applyFont="1" applyFill="1" applyBorder="1" applyAlignment="1">
      <alignment horizontal="center" vertical="center" wrapText="1"/>
    </xf>
    <xf numFmtId="0" fontId="33" fillId="0" borderId="0" xfId="7" applyFont="1" applyFill="1" applyBorder="1" applyAlignment="1">
      <alignment horizontal="left" vertical="center"/>
    </xf>
    <xf numFmtId="49" fontId="31" fillId="0" borderId="0" xfId="7" applyNumberFormat="1" applyFont="1" applyBorder="1" applyAlignment="1">
      <alignment vertical="center" wrapText="1"/>
    </xf>
    <xf numFmtId="0" fontId="31" fillId="0" borderId="0" xfId="7" applyNumberFormat="1" applyFont="1" applyBorder="1" applyAlignment="1">
      <alignment horizontal="left" vertical="center" wrapText="1"/>
    </xf>
    <xf numFmtId="0" fontId="33" fillId="0" borderId="84" xfId="7" applyFont="1" applyFill="1" applyBorder="1" applyAlignment="1">
      <alignment horizontal="center" vertical="center" wrapText="1"/>
    </xf>
    <xf numFmtId="0" fontId="33" fillId="0" borderId="31" xfId="7" applyFont="1" applyFill="1" applyBorder="1" applyAlignment="1">
      <alignment horizontal="center" vertical="center" wrapText="1"/>
    </xf>
    <xf numFmtId="0" fontId="33" fillId="0" borderId="63" xfId="7" applyFont="1" applyFill="1" applyBorder="1" applyAlignment="1">
      <alignment horizontal="center" vertical="center" wrapText="1"/>
    </xf>
    <xf numFmtId="0" fontId="33" fillId="0" borderId="18" xfId="7" applyFont="1" applyFill="1" applyBorder="1" applyAlignment="1">
      <alignment horizontal="center" vertical="center" wrapText="1"/>
    </xf>
    <xf numFmtId="49" fontId="33" fillId="0" borderId="112" xfId="7" applyNumberFormat="1" applyFont="1" applyFill="1" applyBorder="1" applyAlignment="1">
      <alignment horizontal="center" vertical="center" wrapText="1"/>
    </xf>
    <xf numFmtId="49" fontId="33" fillId="0" borderId="72" xfId="7" applyNumberFormat="1" applyFont="1" applyFill="1" applyBorder="1" applyAlignment="1">
      <alignment horizontal="center" vertical="center" wrapText="1"/>
    </xf>
    <xf numFmtId="49" fontId="33" fillId="0" borderId="113" xfId="7" applyNumberFormat="1" applyFont="1" applyFill="1" applyBorder="1" applyAlignment="1">
      <alignment horizontal="center" vertical="center" wrapText="1"/>
    </xf>
    <xf numFmtId="49" fontId="33" fillId="0" borderId="85" xfId="7" applyNumberFormat="1" applyFont="1" applyFill="1" applyBorder="1" applyAlignment="1">
      <alignment horizontal="center" vertical="center" wrapText="1"/>
    </xf>
    <xf numFmtId="49" fontId="33" fillId="0" borderId="30" xfId="7" applyNumberFormat="1" applyFont="1" applyFill="1" applyBorder="1" applyAlignment="1">
      <alignment horizontal="center" vertical="center" wrapText="1"/>
    </xf>
    <xf numFmtId="177" fontId="33" fillId="0" borderId="85" xfId="7" applyNumberFormat="1" applyFont="1" applyBorder="1" applyAlignment="1">
      <alignment horizontal="center" vertical="center" wrapText="1"/>
    </xf>
    <xf numFmtId="177" fontId="33" fillId="0" borderId="30" xfId="7" applyNumberFormat="1" applyFont="1" applyBorder="1" applyAlignment="1">
      <alignment horizontal="center" vertical="center" wrapText="1"/>
    </xf>
    <xf numFmtId="41" fontId="33" fillId="0" borderId="85" xfId="2" applyFont="1" applyFill="1" applyBorder="1" applyAlignment="1">
      <alignment horizontal="center" vertical="center" wrapText="1"/>
    </xf>
    <xf numFmtId="41" fontId="33" fillId="0" borderId="30" xfId="2" applyFont="1" applyFill="1" applyBorder="1" applyAlignment="1">
      <alignment horizontal="center" vertical="center" wrapText="1"/>
    </xf>
    <xf numFmtId="0" fontId="33" fillId="0" borderId="85" xfId="7" applyFont="1" applyFill="1" applyBorder="1" applyAlignment="1">
      <alignment horizontal="center" vertical="center" wrapText="1"/>
    </xf>
    <xf numFmtId="0" fontId="33" fillId="0" borderId="30" xfId="7" applyFont="1" applyFill="1" applyBorder="1" applyAlignment="1">
      <alignment horizontal="center" vertical="center" wrapText="1"/>
    </xf>
    <xf numFmtId="0" fontId="31" fillId="0" borderId="204" xfId="7" applyFont="1" applyFill="1" applyBorder="1" applyAlignment="1">
      <alignment horizontal="center" vertical="center" wrapText="1"/>
    </xf>
    <xf numFmtId="0" fontId="31" fillId="0" borderId="19" xfId="7" applyFont="1" applyFill="1" applyBorder="1" applyAlignment="1">
      <alignment horizontal="center" vertical="center" wrapText="1"/>
    </xf>
    <xf numFmtId="0" fontId="31" fillId="0" borderId="228" xfId="7" applyFont="1" applyFill="1" applyBorder="1" applyAlignment="1">
      <alignment horizontal="center" vertical="center" wrapText="1"/>
    </xf>
    <xf numFmtId="0" fontId="31" fillId="0" borderId="229" xfId="7" applyFont="1" applyFill="1" applyBorder="1" applyAlignment="1">
      <alignment horizontal="center" vertical="center" wrapText="1"/>
    </xf>
    <xf numFmtId="0" fontId="31" fillId="0" borderId="230" xfId="7" applyFont="1" applyFill="1" applyBorder="1" applyAlignment="1">
      <alignment horizontal="center" vertical="center" wrapText="1"/>
    </xf>
    <xf numFmtId="0" fontId="31" fillId="0" borderId="258" xfId="7" applyFont="1" applyFill="1" applyBorder="1" applyAlignment="1">
      <alignment horizontal="center" vertical="center" wrapText="1"/>
    </xf>
    <xf numFmtId="0" fontId="31" fillId="0" borderId="32" xfId="7" applyFont="1" applyFill="1" applyBorder="1" applyAlignment="1">
      <alignment horizontal="center" vertical="center" wrapText="1"/>
    </xf>
    <xf numFmtId="0" fontId="31" fillId="0" borderId="208" xfId="7" applyFont="1" applyFill="1" applyBorder="1" applyAlignment="1">
      <alignment horizontal="center" vertical="center" wrapText="1"/>
    </xf>
    <xf numFmtId="0" fontId="31" fillId="0" borderId="66" xfId="7" applyFont="1" applyFill="1" applyBorder="1" applyAlignment="1">
      <alignment horizontal="center" vertical="center" wrapText="1"/>
    </xf>
    <xf numFmtId="0" fontId="33" fillId="0" borderId="103" xfId="7" applyFont="1" applyFill="1" applyBorder="1" applyAlignment="1">
      <alignment horizontal="center" vertical="center" wrapText="1"/>
    </xf>
    <xf numFmtId="0" fontId="33" fillId="0" borderId="29" xfId="7" applyFont="1" applyFill="1" applyBorder="1" applyAlignment="1">
      <alignment horizontal="center" vertical="center" wrapText="1"/>
    </xf>
    <xf numFmtId="0" fontId="48" fillId="0" borderId="64" xfId="0" applyFont="1" applyFill="1" applyBorder="1" applyAlignment="1">
      <alignment horizontal="center" vertical="center" wrapText="1"/>
    </xf>
    <xf numFmtId="0" fontId="48" fillId="0" borderId="31" xfId="0" applyFont="1" applyFill="1" applyBorder="1" applyAlignment="1">
      <alignment horizontal="left" vertical="center" wrapText="1"/>
    </xf>
    <xf numFmtId="0" fontId="48" fillId="0" borderId="18" xfId="0" applyFont="1" applyFill="1" applyBorder="1" applyAlignment="1">
      <alignment horizontal="left" vertical="center" wrapText="1"/>
    </xf>
    <xf numFmtId="0" fontId="48" fillId="0" borderId="33" xfId="0" applyFont="1" applyFill="1" applyBorder="1" applyAlignment="1">
      <alignment horizontal="left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6" fillId="0" borderId="114" xfId="0" applyFont="1" applyFill="1" applyBorder="1" applyAlignment="1">
      <alignment horizontal="center" vertical="center" wrapText="1"/>
    </xf>
    <xf numFmtId="0" fontId="36" fillId="0" borderId="1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80" fontId="12" fillId="4" borderId="112" xfId="2" applyNumberFormat="1" applyFont="1" applyFill="1" applyBorder="1" applyAlignment="1">
      <alignment horizontal="center" vertical="center"/>
    </xf>
    <xf numFmtId="180" fontId="12" fillId="4" borderId="113" xfId="2" applyNumberFormat="1" applyFont="1" applyFill="1" applyBorder="1" applyAlignment="1">
      <alignment horizontal="center" vertical="center"/>
    </xf>
    <xf numFmtId="191" fontId="12" fillId="0" borderId="120" xfId="2" applyNumberFormat="1" applyFont="1" applyFill="1" applyBorder="1" applyAlignment="1">
      <alignment horizontal="center" vertical="center"/>
    </xf>
    <xf numFmtId="191" fontId="12" fillId="0" borderId="225" xfId="2" applyNumberFormat="1" applyFont="1" applyFill="1" applyBorder="1" applyAlignment="1">
      <alignment horizontal="center" vertical="center"/>
    </xf>
    <xf numFmtId="191" fontId="12" fillId="0" borderId="146" xfId="2" applyNumberFormat="1" applyFont="1" applyFill="1" applyBorder="1" applyAlignment="1">
      <alignment horizontal="center" vertical="center"/>
    </xf>
    <xf numFmtId="191" fontId="12" fillId="0" borderId="61" xfId="2" applyNumberFormat="1" applyFont="1" applyFill="1" applyBorder="1" applyAlignment="1">
      <alignment horizontal="center" vertical="center"/>
    </xf>
    <xf numFmtId="0" fontId="12" fillId="0" borderId="17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177" fontId="13" fillId="6" borderId="137" xfId="0" applyNumberFormat="1" applyFont="1" applyFill="1" applyBorder="1" applyAlignment="1">
      <alignment horizontal="center" vertical="center"/>
    </xf>
    <xf numFmtId="177" fontId="13" fillId="6" borderId="100" xfId="0" applyNumberFormat="1" applyFont="1" applyFill="1" applyBorder="1" applyAlignment="1">
      <alignment horizontal="center" vertical="center"/>
    </xf>
    <xf numFmtId="177" fontId="13" fillId="6" borderId="168" xfId="0" applyNumberFormat="1" applyFont="1" applyFill="1" applyBorder="1" applyAlignment="1">
      <alignment horizontal="center" vertical="center"/>
    </xf>
    <xf numFmtId="180" fontId="12" fillId="0" borderId="93" xfId="2" applyNumberFormat="1" applyFont="1" applyFill="1" applyBorder="1" applyAlignment="1">
      <alignment horizontal="center" vertical="center"/>
    </xf>
    <xf numFmtId="180" fontId="12" fillId="0" borderId="62" xfId="2" applyNumberFormat="1" applyFont="1" applyFill="1" applyBorder="1" applyAlignment="1">
      <alignment horizontal="center" vertical="center"/>
    </xf>
    <xf numFmtId="180" fontId="12" fillId="0" borderId="30" xfId="2" applyNumberFormat="1" applyFont="1" applyFill="1" applyBorder="1" applyAlignment="1">
      <alignment horizontal="center" vertical="center"/>
    </xf>
    <xf numFmtId="10" fontId="12" fillId="0" borderId="93" xfId="1" applyNumberFormat="1" applyFont="1" applyFill="1" applyBorder="1" applyAlignment="1">
      <alignment horizontal="center" vertical="center"/>
    </xf>
    <xf numFmtId="10" fontId="12" fillId="0" borderId="62" xfId="1" applyNumberFormat="1" applyFont="1" applyFill="1" applyBorder="1" applyAlignment="1">
      <alignment horizontal="center" vertical="center"/>
    </xf>
    <xf numFmtId="10" fontId="12" fillId="0" borderId="232" xfId="1" applyNumberFormat="1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 wrapText="1"/>
    </xf>
    <xf numFmtId="0" fontId="12" fillId="0" borderId="148" xfId="0" applyFont="1" applyFill="1" applyBorder="1" applyAlignment="1">
      <alignment horizontal="center" vertical="center" wrapText="1"/>
    </xf>
    <xf numFmtId="0" fontId="23" fillId="0" borderId="19" xfId="2" applyNumberFormat="1" applyFont="1" applyFill="1" applyBorder="1" applyAlignment="1">
      <alignment horizontal="center" vertical="center" wrapText="1"/>
    </xf>
    <xf numFmtId="0" fontId="31" fillId="0" borderId="210" xfId="7" applyFont="1" applyFill="1" applyBorder="1" applyAlignment="1">
      <alignment horizontal="center" vertical="center" wrapText="1"/>
    </xf>
    <xf numFmtId="0" fontId="31" fillId="0" borderId="211" xfId="7" applyFont="1" applyFill="1" applyBorder="1" applyAlignment="1">
      <alignment horizontal="center" vertical="center" wrapText="1"/>
    </xf>
    <xf numFmtId="0" fontId="31" fillId="0" borderId="233" xfId="7" applyFont="1" applyFill="1" applyBorder="1" applyAlignment="1">
      <alignment horizontal="center" vertical="center" wrapText="1"/>
    </xf>
    <xf numFmtId="0" fontId="33" fillId="0" borderId="85" xfId="7" applyFont="1" applyBorder="1" applyAlignment="1">
      <alignment horizontal="center" vertical="center" wrapText="1"/>
    </xf>
    <xf numFmtId="0" fontId="33" fillId="0" borderId="30" xfId="7" applyFont="1" applyBorder="1" applyAlignment="1">
      <alignment horizontal="center" vertical="center" wrapText="1"/>
    </xf>
    <xf numFmtId="0" fontId="33" fillId="0" borderId="101" xfId="7" applyFont="1" applyBorder="1" applyAlignment="1">
      <alignment horizontal="center" vertical="center" wrapText="1"/>
    </xf>
    <xf numFmtId="0" fontId="31" fillId="0" borderId="33" xfId="7" applyFont="1" applyBorder="1" applyAlignment="1">
      <alignment horizontal="center" vertical="center" wrapText="1"/>
    </xf>
    <xf numFmtId="0" fontId="33" fillId="0" borderId="112" xfId="7" applyFont="1" applyFill="1" applyBorder="1" applyAlignment="1">
      <alignment horizontal="center" vertical="center" wrapText="1"/>
    </xf>
    <xf numFmtId="0" fontId="33" fillId="0" borderId="113" xfId="7" applyFont="1" applyFill="1" applyBorder="1" applyAlignment="1">
      <alignment horizontal="center" vertical="center" wrapText="1"/>
    </xf>
    <xf numFmtId="0" fontId="33" fillId="0" borderId="63" xfId="7" applyFont="1" applyBorder="1" applyAlignment="1">
      <alignment horizontal="center" vertical="center" wrapText="1"/>
    </xf>
    <xf numFmtId="0" fontId="33" fillId="0" borderId="18" xfId="7" applyFont="1" applyBorder="1" applyAlignment="1">
      <alignment horizontal="center" vertical="center" wrapText="1"/>
    </xf>
    <xf numFmtId="0" fontId="23" fillId="0" borderId="19" xfId="2" applyNumberFormat="1" applyFont="1" applyFill="1" applyBorder="1" applyAlignment="1">
      <alignment horizontal="left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36" fillId="2" borderId="114" xfId="0" applyFont="1" applyFill="1" applyBorder="1" applyAlignment="1">
      <alignment horizontal="center" vertical="center" wrapText="1"/>
    </xf>
    <xf numFmtId="0" fontId="36" fillId="2" borderId="1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0" borderId="93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98" fontId="12" fillId="0" borderId="134" xfId="2" applyNumberFormat="1" applyFont="1" applyFill="1" applyBorder="1" applyAlignment="1">
      <alignment horizontal="center" vertical="center"/>
    </xf>
    <xf numFmtId="198" fontId="12" fillId="0" borderId="259" xfId="2" applyNumberFormat="1" applyFont="1" applyFill="1" applyBorder="1" applyAlignment="1">
      <alignment horizontal="center" vertical="center"/>
    </xf>
    <xf numFmtId="198" fontId="12" fillId="0" borderId="161" xfId="2" applyNumberFormat="1" applyFont="1" applyFill="1" applyBorder="1" applyAlignment="1">
      <alignment horizontal="center" vertical="center"/>
    </xf>
    <xf numFmtId="0" fontId="12" fillId="4" borderId="123" xfId="0" applyFont="1" applyFill="1" applyBorder="1" applyAlignment="1">
      <alignment horizontal="center" vertical="center"/>
    </xf>
    <xf numFmtId="0" fontId="12" fillId="4" borderId="115" xfId="0" applyFont="1" applyFill="1" applyBorder="1" applyAlignment="1">
      <alignment horizontal="center" vertical="center"/>
    </xf>
    <xf numFmtId="177" fontId="13" fillId="6" borderId="35" xfId="0" applyNumberFormat="1" applyFont="1" applyFill="1" applyBorder="1" applyAlignment="1">
      <alignment horizontal="center" vertical="center"/>
    </xf>
    <xf numFmtId="177" fontId="13" fillId="6" borderId="62" xfId="0" applyNumberFormat="1" applyFont="1" applyFill="1" applyBorder="1" applyAlignment="1">
      <alignment horizontal="center" vertical="center"/>
    </xf>
    <xf numFmtId="177" fontId="13" fillId="6" borderId="37" xfId="0" applyNumberFormat="1" applyFont="1" applyFill="1" applyBorder="1" applyAlignment="1">
      <alignment horizontal="center" vertical="center"/>
    </xf>
    <xf numFmtId="180" fontId="12" fillId="4" borderId="182" xfId="2" applyNumberFormat="1" applyFont="1" applyFill="1" applyBorder="1" applyAlignment="1">
      <alignment horizontal="center" vertical="center"/>
    </xf>
    <xf numFmtId="180" fontId="12" fillId="4" borderId="125" xfId="2" applyNumberFormat="1" applyFont="1" applyFill="1" applyBorder="1" applyAlignment="1">
      <alignment horizontal="center" vertical="center"/>
    </xf>
    <xf numFmtId="180" fontId="12" fillId="4" borderId="132" xfId="2" applyNumberFormat="1" applyFont="1" applyFill="1" applyBorder="1" applyAlignment="1">
      <alignment horizontal="center" vertical="center"/>
    </xf>
    <xf numFmtId="177" fontId="13" fillId="6" borderId="93" xfId="0" applyNumberFormat="1" applyFont="1" applyFill="1" applyBorder="1" applyAlignment="1">
      <alignment horizontal="center" vertical="center"/>
    </xf>
    <xf numFmtId="177" fontId="13" fillId="6" borderId="30" xfId="0" applyNumberFormat="1" applyFont="1" applyFill="1" applyBorder="1" applyAlignment="1">
      <alignment horizontal="center" vertical="center"/>
    </xf>
    <xf numFmtId="0" fontId="12" fillId="4" borderId="182" xfId="0" applyFont="1" applyFill="1" applyBorder="1" applyAlignment="1">
      <alignment horizontal="center" vertical="center"/>
    </xf>
    <xf numFmtId="0" fontId="12" fillId="4" borderId="87" xfId="0" applyFont="1" applyFill="1" applyBorder="1" applyAlignment="1">
      <alignment horizontal="center" vertical="center"/>
    </xf>
    <xf numFmtId="0" fontId="12" fillId="4" borderId="183" xfId="0" applyFont="1" applyFill="1" applyBorder="1" applyAlignment="1">
      <alignment horizontal="center" vertical="center"/>
    </xf>
    <xf numFmtId="0" fontId="12" fillId="4" borderId="125" xfId="0" applyFont="1" applyFill="1" applyBorder="1" applyAlignment="1">
      <alignment horizontal="center" vertical="center"/>
    </xf>
    <xf numFmtId="179" fontId="12" fillId="0" borderId="234" xfId="0" applyNumberFormat="1" applyFont="1" applyFill="1" applyBorder="1" applyAlignment="1">
      <alignment horizontal="center" vertical="center"/>
    </xf>
    <xf numFmtId="179" fontId="12" fillId="0" borderId="235" xfId="0" applyNumberFormat="1" applyFont="1" applyFill="1" applyBorder="1" applyAlignment="1">
      <alignment horizontal="center" vertical="center"/>
    </xf>
    <xf numFmtId="179" fontId="12" fillId="0" borderId="236" xfId="0" applyNumberFormat="1" applyFont="1" applyFill="1" applyBorder="1" applyAlignment="1">
      <alignment horizontal="center" vertical="center"/>
    </xf>
    <xf numFmtId="0" fontId="12" fillId="4" borderId="88" xfId="0" applyFont="1" applyFill="1" applyBorder="1" applyAlignment="1">
      <alignment horizontal="center" vertical="center"/>
    </xf>
    <xf numFmtId="10" fontId="12" fillId="0" borderId="18" xfId="1" applyNumberFormat="1" applyFont="1" applyBorder="1" applyAlignment="1">
      <alignment horizontal="center" vertical="center"/>
    </xf>
    <xf numFmtId="10" fontId="12" fillId="4" borderId="93" xfId="1" applyNumberFormat="1" applyFont="1" applyFill="1" applyBorder="1" applyAlignment="1">
      <alignment horizontal="center" vertical="center"/>
    </xf>
    <xf numFmtId="10" fontId="12" fillId="4" borderId="30" xfId="1" applyNumberFormat="1" applyFont="1" applyFill="1" applyBorder="1" applyAlignment="1">
      <alignment horizontal="center" vertical="center"/>
    </xf>
    <xf numFmtId="0" fontId="12" fillId="4" borderId="124" xfId="0" applyFont="1" applyFill="1" applyBorder="1" applyAlignment="1">
      <alignment horizontal="center" vertical="center" wrapText="1"/>
    </xf>
    <xf numFmtId="0" fontId="12" fillId="4" borderId="132" xfId="0" applyFont="1" applyFill="1" applyBorder="1" applyAlignment="1">
      <alignment horizontal="center" vertical="center" wrapText="1"/>
    </xf>
    <xf numFmtId="9" fontId="12" fillId="0" borderId="93" xfId="0" applyNumberFormat="1" applyFont="1" applyFill="1" applyBorder="1" applyAlignment="1">
      <alignment horizontal="center" vertical="center"/>
    </xf>
    <xf numFmtId="9" fontId="12" fillId="0" borderId="62" xfId="0" applyNumberFormat="1" applyFont="1" applyFill="1" applyBorder="1" applyAlignment="1">
      <alignment horizontal="center" vertical="center"/>
    </xf>
    <xf numFmtId="9" fontId="12" fillId="0" borderId="30" xfId="0" applyNumberFormat="1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177" fontId="13" fillId="6" borderId="225" xfId="0" applyNumberFormat="1" applyFont="1" applyFill="1" applyBorder="1" applyAlignment="1">
      <alignment horizontal="center" vertical="center"/>
    </xf>
    <xf numFmtId="177" fontId="13" fillId="6" borderId="61" xfId="0" applyNumberFormat="1" applyFont="1" applyFill="1" applyBorder="1" applyAlignment="1">
      <alignment horizontal="center" vertical="center"/>
    </xf>
    <xf numFmtId="177" fontId="13" fillId="6" borderId="226" xfId="0" applyNumberFormat="1" applyFont="1" applyFill="1" applyBorder="1" applyAlignment="1">
      <alignment horizontal="center" vertical="center"/>
    </xf>
    <xf numFmtId="177" fontId="12" fillId="0" borderId="240" xfId="0" applyNumberFormat="1" applyFont="1" applyBorder="1" applyAlignment="1">
      <alignment horizontal="center" vertical="center"/>
    </xf>
    <xf numFmtId="177" fontId="12" fillId="0" borderId="177" xfId="0" applyNumberFormat="1" applyFont="1" applyBorder="1" applyAlignment="1">
      <alignment horizontal="center" vertical="center"/>
    </xf>
    <xf numFmtId="177" fontId="12" fillId="0" borderId="241" xfId="0" applyNumberFormat="1" applyFont="1" applyBorder="1" applyAlignment="1">
      <alignment horizontal="center" vertical="center"/>
    </xf>
    <xf numFmtId="177" fontId="12" fillId="0" borderId="225" xfId="0" applyNumberFormat="1" applyFont="1" applyFill="1" applyBorder="1" applyAlignment="1">
      <alignment horizontal="center" vertical="center"/>
    </xf>
    <xf numFmtId="177" fontId="12" fillId="0" borderId="61" xfId="0" applyNumberFormat="1" applyFont="1" applyFill="1" applyBorder="1" applyAlignment="1">
      <alignment horizontal="center" vertical="center"/>
    </xf>
    <xf numFmtId="177" fontId="12" fillId="0" borderId="226" xfId="0" applyNumberFormat="1" applyFont="1" applyFill="1" applyBorder="1" applyAlignment="1">
      <alignment horizontal="center" vertical="center"/>
    </xf>
    <xf numFmtId="0" fontId="12" fillId="4" borderId="219" xfId="0" applyFont="1" applyFill="1" applyBorder="1" applyAlignment="1">
      <alignment horizontal="center" vertical="center"/>
    </xf>
    <xf numFmtId="0" fontId="12" fillId="4" borderId="242" xfId="0" applyFont="1" applyFill="1" applyBorder="1" applyAlignment="1">
      <alignment horizontal="center" vertical="center"/>
    </xf>
    <xf numFmtId="0" fontId="12" fillId="4" borderId="129" xfId="0" applyFont="1" applyFill="1" applyBorder="1" applyAlignment="1">
      <alignment horizontal="center" vertical="center"/>
    </xf>
    <xf numFmtId="0" fontId="12" fillId="4" borderId="16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9" fontId="12" fillId="0" borderId="18" xfId="0" applyNumberFormat="1" applyFont="1" applyFill="1" applyBorder="1" applyAlignment="1">
      <alignment horizontal="center" vertical="center"/>
    </xf>
    <xf numFmtId="177" fontId="12" fillId="0" borderId="187" xfId="0" applyNumberFormat="1" applyFont="1" applyBorder="1" applyAlignment="1">
      <alignment horizontal="center" vertical="center"/>
    </xf>
    <xf numFmtId="177" fontId="12" fillId="0" borderId="189" xfId="0" applyNumberFormat="1" applyFont="1" applyBorder="1" applyAlignment="1">
      <alignment horizontal="center" vertical="center"/>
    </xf>
    <xf numFmtId="0" fontId="12" fillId="4" borderId="133" xfId="0" applyFont="1" applyFill="1" applyBorder="1" applyAlignment="1">
      <alignment horizontal="center" vertical="center"/>
    </xf>
    <xf numFmtId="0" fontId="12" fillId="4" borderId="134" xfId="0" applyFont="1" applyFill="1" applyBorder="1" applyAlignment="1">
      <alignment horizontal="center" vertical="center"/>
    </xf>
    <xf numFmtId="0" fontId="12" fillId="4" borderId="124" xfId="0" applyFont="1" applyFill="1" applyBorder="1" applyAlignment="1">
      <alignment horizontal="center" vertical="center"/>
    </xf>
    <xf numFmtId="0" fontId="12" fillId="4" borderId="225" xfId="0" applyFont="1" applyFill="1" applyBorder="1" applyAlignment="1">
      <alignment horizontal="center" vertical="center"/>
    </xf>
    <xf numFmtId="0" fontId="12" fillId="4" borderId="226" xfId="0" applyFont="1" applyFill="1" applyBorder="1" applyAlignment="1">
      <alignment horizontal="center" vertical="center"/>
    </xf>
    <xf numFmtId="177" fontId="12" fillId="0" borderId="187" xfId="0" applyNumberFormat="1" applyFont="1" applyFill="1" applyBorder="1" applyAlignment="1">
      <alignment horizontal="center" vertical="center"/>
    </xf>
    <xf numFmtId="177" fontId="12" fillId="0" borderId="177" xfId="0" applyNumberFormat="1" applyFont="1" applyFill="1" applyBorder="1" applyAlignment="1">
      <alignment horizontal="center" vertical="center"/>
    </xf>
    <xf numFmtId="177" fontId="12" fillId="0" borderId="189" xfId="0" applyNumberFormat="1" applyFont="1" applyFill="1" applyBorder="1" applyAlignment="1">
      <alignment horizontal="center" vertical="center"/>
    </xf>
    <xf numFmtId="177" fontId="12" fillId="0" borderId="237" xfId="0" applyNumberFormat="1" applyFont="1" applyFill="1" applyBorder="1" applyAlignment="1">
      <alignment horizontal="center" vertical="center"/>
    </xf>
    <xf numFmtId="177" fontId="12" fillId="0" borderId="238" xfId="0" applyNumberFormat="1" applyFont="1" applyFill="1" applyBorder="1" applyAlignment="1">
      <alignment horizontal="center" vertical="center"/>
    </xf>
    <xf numFmtId="177" fontId="12" fillId="0" borderId="239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4" borderId="132" xfId="0" applyFont="1" applyFill="1" applyBorder="1" applyAlignment="1">
      <alignment horizontal="center" vertical="center"/>
    </xf>
    <xf numFmtId="177" fontId="13" fillId="6" borderId="56" xfId="0" applyNumberFormat="1" applyFont="1" applyFill="1" applyBorder="1" applyAlignment="1">
      <alignment horizontal="center" vertical="center"/>
    </xf>
    <xf numFmtId="177" fontId="13" fillId="6" borderId="83" xfId="0" applyNumberFormat="1" applyFont="1" applyFill="1" applyBorder="1" applyAlignment="1">
      <alignment horizontal="center" vertical="center"/>
    </xf>
    <xf numFmtId="177" fontId="13" fillId="6" borderId="18" xfId="0" applyNumberFormat="1" applyFont="1" applyFill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31" fillId="0" borderId="158" xfId="7" applyFont="1" applyFill="1" applyBorder="1" applyAlignment="1">
      <alignment horizontal="center" vertical="center"/>
    </xf>
    <xf numFmtId="0" fontId="31" fillId="0" borderId="114" xfId="7" applyFont="1" applyFill="1" applyBorder="1" applyAlignment="1">
      <alignment horizontal="center" vertical="center"/>
    </xf>
    <xf numFmtId="0" fontId="31" fillId="0" borderId="116" xfId="7" applyFont="1" applyFill="1" applyBorder="1" applyAlignment="1">
      <alignment horizontal="center" vertical="center"/>
    </xf>
    <xf numFmtId="0" fontId="31" fillId="0" borderId="229" xfId="7" applyFont="1" applyFill="1" applyBorder="1" applyAlignment="1">
      <alignment horizontal="center" vertical="center"/>
    </xf>
    <xf numFmtId="0" fontId="31" fillId="0" borderId="230" xfId="7" applyFont="1" applyFill="1" applyBorder="1" applyAlignment="1">
      <alignment horizontal="center" vertical="center"/>
    </xf>
    <xf numFmtId="0" fontId="31" fillId="0" borderId="231" xfId="7" applyFont="1" applyFill="1" applyBorder="1" applyAlignment="1">
      <alignment horizontal="center" vertical="center"/>
    </xf>
    <xf numFmtId="0" fontId="31" fillId="0" borderId="102" xfId="7" applyFont="1" applyFill="1" applyBorder="1" applyAlignment="1">
      <alignment horizontal="center" vertical="center"/>
    </xf>
    <xf numFmtId="0" fontId="31" fillId="0" borderId="64" xfId="7" applyFont="1" applyFill="1" applyBorder="1" applyAlignment="1">
      <alignment horizontal="center" vertical="center"/>
    </xf>
    <xf numFmtId="0" fontId="31" fillId="0" borderId="31" xfId="7" applyFont="1" applyFill="1" applyBorder="1" applyAlignment="1">
      <alignment horizontal="center" vertical="center"/>
    </xf>
    <xf numFmtId="0" fontId="31" fillId="0" borderId="18" xfId="7" applyFont="1" applyFill="1" applyBorder="1" applyAlignment="1">
      <alignment horizontal="center" vertical="center"/>
    </xf>
    <xf numFmtId="0" fontId="31" fillId="0" borderId="158" xfId="7" applyFont="1" applyBorder="1" applyAlignment="1">
      <alignment horizontal="center" vertical="center"/>
    </xf>
    <xf numFmtId="0" fontId="31" fillId="0" borderId="114" xfId="7" applyFont="1" applyBorder="1" applyAlignment="1">
      <alignment horizontal="center" vertical="center"/>
    </xf>
    <xf numFmtId="0" fontId="31" fillId="0" borderId="116" xfId="7" applyFont="1" applyBorder="1" applyAlignment="1">
      <alignment horizontal="center" vertical="center"/>
    </xf>
    <xf numFmtId="198" fontId="12" fillId="0" borderId="25" xfId="2" applyNumberFormat="1" applyFont="1" applyFill="1" applyBorder="1" applyAlignment="1">
      <alignment horizontal="center" vertical="center"/>
    </xf>
    <xf numFmtId="198" fontId="12" fillId="0" borderId="218" xfId="2" applyNumberFormat="1" applyFont="1" applyFill="1" applyBorder="1" applyAlignment="1">
      <alignment horizontal="center" vertical="center"/>
    </xf>
    <xf numFmtId="177" fontId="12" fillId="0" borderId="93" xfId="0" applyNumberFormat="1" applyFont="1" applyFill="1" applyBorder="1" applyAlignment="1">
      <alignment vertical="center"/>
    </xf>
    <xf numFmtId="177" fontId="12" fillId="0" borderId="30" xfId="0" applyNumberFormat="1" applyFont="1" applyFill="1" applyBorder="1" applyAlignment="1">
      <alignment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20" xfId="0" applyFont="1" applyFill="1" applyBorder="1" applyAlignment="1">
      <alignment horizontal="center" vertical="center"/>
    </xf>
    <xf numFmtId="0" fontId="12" fillId="4" borderId="202" xfId="0" applyFont="1" applyFill="1" applyBorder="1" applyAlignment="1">
      <alignment horizontal="center" vertical="center"/>
    </xf>
    <xf numFmtId="198" fontId="12" fillId="0" borderId="133" xfId="2" applyNumberFormat="1" applyFont="1" applyFill="1" applyBorder="1" applyAlignment="1">
      <alignment horizontal="center" vertical="center"/>
    </xf>
    <xf numFmtId="198" fontId="12" fillId="0" borderId="260" xfId="2" applyNumberFormat="1" applyFont="1" applyFill="1" applyBorder="1" applyAlignment="1">
      <alignment horizontal="center" vertical="center"/>
    </xf>
    <xf numFmtId="215" fontId="12" fillId="0" borderId="240" xfId="2" applyNumberFormat="1" applyFont="1" applyFill="1" applyBorder="1" applyAlignment="1">
      <alignment horizontal="center" vertical="center"/>
    </xf>
    <xf numFmtId="215" fontId="12" fillId="0" borderId="177" xfId="2" applyNumberFormat="1" applyFont="1" applyFill="1" applyBorder="1" applyAlignment="1">
      <alignment horizontal="center" vertical="center"/>
    </xf>
    <xf numFmtId="215" fontId="12" fillId="0" borderId="285" xfId="2" applyNumberFormat="1" applyFont="1" applyFill="1" applyBorder="1" applyAlignment="1">
      <alignment horizontal="center" vertical="center"/>
    </xf>
    <xf numFmtId="0" fontId="11" fillId="4" borderId="103" xfId="0" applyFont="1" applyFill="1" applyBorder="1" applyAlignment="1">
      <alignment horizontal="center" vertical="center"/>
    </xf>
    <xf numFmtId="0" fontId="11" fillId="4" borderId="159" xfId="0" applyFont="1" applyFill="1" applyBorder="1" applyAlignment="1">
      <alignment horizontal="center" vertical="center"/>
    </xf>
    <xf numFmtId="0" fontId="11" fillId="4" borderId="243" xfId="0" applyFont="1" applyFill="1" applyBorder="1" applyAlignment="1">
      <alignment horizontal="center" vertical="center"/>
    </xf>
    <xf numFmtId="0" fontId="11" fillId="4" borderId="244" xfId="0" applyFont="1" applyFill="1" applyBorder="1" applyAlignment="1">
      <alignment horizontal="center" vertical="center"/>
    </xf>
    <xf numFmtId="0" fontId="11" fillId="4" borderId="245" xfId="0" applyFont="1" applyFill="1" applyBorder="1" applyAlignment="1">
      <alignment horizontal="center" vertical="center"/>
    </xf>
    <xf numFmtId="0" fontId="11" fillId="0" borderId="272" xfId="0" applyFont="1" applyBorder="1" applyAlignment="1">
      <alignment horizontal="center" vertical="center" wrapText="1"/>
    </xf>
    <xf numFmtId="0" fontId="11" fillId="0" borderId="146" xfId="0" applyFont="1" applyBorder="1" applyAlignment="1">
      <alignment horizontal="center" vertical="center" wrapText="1"/>
    </xf>
    <xf numFmtId="178" fontId="11" fillId="0" borderId="273" xfId="1" applyNumberFormat="1" applyFont="1" applyFill="1" applyBorder="1" applyAlignment="1">
      <alignment horizontal="center" vertical="center"/>
    </xf>
    <xf numFmtId="178" fontId="11" fillId="0" borderId="177" xfId="1" applyNumberFormat="1" applyFont="1" applyFill="1" applyBorder="1" applyAlignment="1">
      <alignment horizontal="center" vertical="center"/>
    </xf>
    <xf numFmtId="178" fontId="11" fillId="0" borderId="274" xfId="1" applyNumberFormat="1" applyFont="1" applyFill="1" applyBorder="1" applyAlignment="1">
      <alignment horizontal="center" vertical="center"/>
    </xf>
    <xf numFmtId="178" fontId="11" fillId="0" borderId="280" xfId="1" applyNumberFormat="1" applyFont="1" applyFill="1" applyBorder="1" applyAlignment="1">
      <alignment horizontal="center" vertical="center"/>
    </xf>
    <xf numFmtId="178" fontId="11" fillId="0" borderId="275" xfId="1" applyNumberFormat="1" applyFont="1" applyFill="1" applyBorder="1" applyAlignment="1">
      <alignment horizontal="center" vertical="center"/>
    </xf>
    <xf numFmtId="178" fontId="11" fillId="0" borderId="147" xfId="1" applyNumberFormat="1" applyFont="1" applyFill="1" applyBorder="1" applyAlignment="1">
      <alignment horizontal="center" vertical="center"/>
    </xf>
    <xf numFmtId="178" fontId="11" fillId="0" borderId="276" xfId="1" applyNumberFormat="1" applyFont="1" applyFill="1" applyBorder="1" applyAlignment="1">
      <alignment horizontal="center" vertical="center"/>
    </xf>
    <xf numFmtId="178" fontId="11" fillId="0" borderId="235" xfId="1" applyNumberFormat="1" applyFont="1" applyFill="1" applyBorder="1" applyAlignment="1">
      <alignment horizontal="center" vertical="center"/>
    </xf>
    <xf numFmtId="178" fontId="11" fillId="0" borderId="277" xfId="1" applyNumberFormat="1" applyFont="1" applyFill="1" applyBorder="1" applyAlignment="1">
      <alignment horizontal="center" vertical="center"/>
    </xf>
    <xf numFmtId="178" fontId="11" fillId="0" borderId="176" xfId="1" applyNumberFormat="1" applyFont="1" applyFill="1" applyBorder="1" applyAlignment="1">
      <alignment horizontal="center" vertical="center"/>
    </xf>
    <xf numFmtId="178" fontId="11" fillId="0" borderId="278" xfId="1" applyNumberFormat="1" applyFont="1" applyFill="1" applyBorder="1" applyAlignment="1">
      <alignment horizontal="center" vertical="center"/>
    </xf>
    <xf numFmtId="178" fontId="11" fillId="0" borderId="281" xfId="1" applyNumberFormat="1" applyFont="1" applyFill="1" applyBorder="1" applyAlignment="1">
      <alignment horizontal="center" vertical="center"/>
    </xf>
    <xf numFmtId="178" fontId="11" fillId="0" borderId="279" xfId="1" applyNumberFormat="1" applyFont="1" applyFill="1" applyBorder="1" applyAlignment="1">
      <alignment horizontal="center" vertical="center"/>
    </xf>
    <xf numFmtId="178" fontId="11" fillId="0" borderId="282" xfId="1" applyNumberFormat="1" applyFont="1" applyFill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5" fillId="0" borderId="9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80" fontId="15" fillId="0" borderId="18" xfId="2" applyNumberFormat="1" applyFont="1" applyBorder="1" applyAlignment="1">
      <alignment horizontal="center" vertical="center" wrapText="1"/>
    </xf>
    <xf numFmtId="189" fontId="15" fillId="0" borderId="18" xfId="0" applyNumberFormat="1" applyFont="1" applyBorder="1" applyAlignment="1">
      <alignment horizontal="center" vertical="center" wrapText="1"/>
    </xf>
    <xf numFmtId="180" fontId="15" fillId="0" borderId="93" xfId="2" applyNumberFormat="1" applyFont="1" applyBorder="1" applyAlignment="1">
      <alignment horizontal="center" vertical="center" wrapText="1"/>
    </xf>
    <xf numFmtId="180" fontId="15" fillId="0" borderId="30" xfId="2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6" xfId="0" applyFont="1" applyBorder="1" applyAlignment="1">
      <alignment horizontal="center" vertical="center" wrapText="1"/>
    </xf>
    <xf numFmtId="189" fontId="15" fillId="0" borderId="93" xfId="0" applyNumberFormat="1" applyFont="1" applyBorder="1" applyAlignment="1">
      <alignment horizontal="center" vertical="center" wrapText="1"/>
    </xf>
    <xf numFmtId="189" fontId="15" fillId="0" borderId="3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49" fontId="31" fillId="0" borderId="0" xfId="7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77" fontId="56" fillId="6" borderId="18" xfId="0" applyNumberFormat="1" applyFont="1" applyFill="1" applyBorder="1" applyAlignment="1">
      <alignment horizontal="center" vertical="center"/>
    </xf>
    <xf numFmtId="0" fontId="47" fillId="4" borderId="18" xfId="0" applyFont="1" applyFill="1" applyBorder="1" applyAlignment="1">
      <alignment horizontal="center" vertical="center" wrapText="1"/>
    </xf>
    <xf numFmtId="0" fontId="47" fillId="4" borderId="18" xfId="0" applyFont="1" applyFill="1" applyBorder="1" applyAlignment="1">
      <alignment horizontal="center" vertical="center"/>
    </xf>
  </cellXfs>
  <cellStyles count="8">
    <cellStyle name="백분율" xfId="1" builtinId="5"/>
    <cellStyle name="쉼표 [0]" xfId="2" builtinId="6"/>
    <cellStyle name="표준" xfId="0" builtinId="0"/>
    <cellStyle name="표준 2" xfId="3"/>
    <cellStyle name="표준 2 2" xfId="4"/>
    <cellStyle name="표준 3" xfId="5"/>
    <cellStyle name="표준 4" xfId="6"/>
    <cellStyle name="표준_15_도로설계실적현황관리(수성+용마)" xfId="7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47625</xdr:rowOff>
    </xdr:from>
    <xdr:to>
      <xdr:col>1</xdr:col>
      <xdr:colOff>733425</xdr:colOff>
      <xdr:row>3</xdr:row>
      <xdr:rowOff>285750</xdr:rowOff>
    </xdr:to>
    <xdr:sp macro="" textlink="">
      <xdr:nvSpPr>
        <xdr:cNvPr id="38913" name="Rectangle 1"/>
        <xdr:cNvSpPr>
          <a:spLocks noChangeArrowheads="1"/>
        </xdr:cNvSpPr>
      </xdr:nvSpPr>
      <xdr:spPr bwMode="auto">
        <a:xfrm>
          <a:off x="1066800" y="800100"/>
          <a:ext cx="428625" cy="2381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104775</xdr:colOff>
      <xdr:row>4</xdr:row>
      <xdr:rowOff>47625</xdr:rowOff>
    </xdr:from>
    <xdr:to>
      <xdr:col>2</xdr:col>
      <xdr:colOff>533400</xdr:colOff>
      <xdr:row>4</xdr:row>
      <xdr:rowOff>285750</xdr:rowOff>
    </xdr:to>
    <xdr:sp macro="" textlink="">
      <xdr:nvSpPr>
        <xdr:cNvPr id="38914" name="Rectangle 2"/>
        <xdr:cNvSpPr>
          <a:spLocks noChangeArrowheads="1"/>
        </xdr:cNvSpPr>
      </xdr:nvSpPr>
      <xdr:spPr bwMode="auto">
        <a:xfrm>
          <a:off x="1628775" y="1133475"/>
          <a:ext cx="428625" cy="2381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28575</xdr:rowOff>
    </xdr:from>
    <xdr:to>
      <xdr:col>1</xdr:col>
      <xdr:colOff>390525</xdr:colOff>
      <xdr:row>16</xdr:row>
      <xdr:rowOff>171450</xdr:rowOff>
    </xdr:to>
    <xdr:sp macro="" textlink="">
      <xdr:nvSpPr>
        <xdr:cNvPr id="39937" name="Rectangle 31"/>
        <xdr:cNvSpPr>
          <a:spLocks noChangeArrowheads="1"/>
        </xdr:cNvSpPr>
      </xdr:nvSpPr>
      <xdr:spPr bwMode="auto">
        <a:xfrm>
          <a:off x="361950" y="4943475"/>
          <a:ext cx="352425" cy="1428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9352;%20&#54260;&#45908;\&#54620;&#44397;&#53664;&#51648;&#51452;&#53469;&#44277;&#49324;(&#49340;&#505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(19.01.31~)&#44592;&#49696;&#49900;&#49324;&#52376;\01.%20&#49324;&#50629;&#49688;&#54665;&#45733;&#47141;&#54217;&#44032;\&#45800;&#51648;&#51312;&#49457;%20&#46321;%20&#49444;&#44228;&#50857;&#50669;\29-191118_&#45824;&#51204;&#52649;&#45224;19&#51648;&#50669;&#44060;&#48156;1&#53804;&#51088;&#49440;&#46020;&#51648;&#44396;(&#51652;&#44592;)\02.%20&#54217;&#44032;&#51032;&#47280;\1\07.&#54217;&#44032;\3.&#45824;&#51204;&#52649;&#45224;%20&#49324;&#50629;&#49688;&#54665;&#45733;&#47141;&#54217;&#44032;&#49436;_&#54217;&#44032;&#51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참여업체"/>
      <sheetName val="배점기준"/>
      <sheetName val="종합"/>
      <sheetName val="기술자"/>
      <sheetName val="사책(동일)"/>
      <sheetName val="도시계획분책(김기환)"/>
      <sheetName val="도로공항분책(동일)"/>
      <sheetName val="상하수도분책(김승관)"/>
      <sheetName val="토질지질분책(윤민수)"/>
      <sheetName val="구조분책(동일)"/>
      <sheetName val="도시계획참여(동일)"/>
      <sheetName val="도로공항참여(박종오)"/>
      <sheetName val="상하수도참여(동일)"/>
      <sheetName val="토질지질참여(김재현)"/>
      <sheetName val="구조참여(동일)"/>
      <sheetName val="교육훈련"/>
      <sheetName val="전차용역(기술자)"/>
      <sheetName val="유사용역"/>
      <sheetName val="유사(동일)"/>
      <sheetName val="유사(삼안)"/>
      <sheetName val="전차용역"/>
      <sheetName val="신용도"/>
      <sheetName val="부실벌점"/>
      <sheetName val="기술투자"/>
      <sheetName val="개발(동일)"/>
      <sheetName val="개발(삼안)"/>
      <sheetName val="활용(동일)"/>
      <sheetName val="활용(삼안)"/>
      <sheetName val="중첩도"/>
      <sheetName val="중첩신고"/>
      <sheetName val="가감점"/>
    </sheetNames>
    <sheetDataSet>
      <sheetData sheetId="0"/>
      <sheetData sheetId="1"/>
      <sheetData sheetId="2">
        <row r="9">
          <cell r="G9">
            <v>1548118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▣ 개발실적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참여업체(완)"/>
      <sheetName val="배점기준"/>
      <sheetName val="기술자"/>
      <sheetName val="종합"/>
      <sheetName val="사업책임기술자경력"/>
      <sheetName val="사업책임(김갑성)"/>
      <sheetName val="도시책임(윤수근)"/>
      <sheetName val="도로공항책임(이희철)"/>
      <sheetName val="구조책임(김대원)"/>
      <sheetName val="상하수도책임(박오현)"/>
      <sheetName val="토질책임(최인걸)"/>
      <sheetName val="조경책임(윤태호)"/>
      <sheetName val="도시참여(조호정)"/>
      <sheetName val="도로공항참여(금철수)"/>
      <sheetName val="구조참여(이성문)"/>
      <sheetName val="상하수도참여(김창옥)"/>
      <sheetName val="토질참여(양대권)"/>
      <sheetName val="조경참여(박동천)"/>
      <sheetName val="교육훈련"/>
      <sheetName val="전차용역(기술자)"/>
      <sheetName val="유사용역"/>
      <sheetName val="유사(서영)"/>
      <sheetName val="유사(유신)"/>
      <sheetName val="유사(동일)"/>
      <sheetName val="유사(선진)"/>
      <sheetName val="유사(신성)"/>
      <sheetName val="전차용역"/>
      <sheetName val="용역수행성과"/>
      <sheetName val="신용도"/>
      <sheetName val="부실벌점"/>
      <sheetName val="기술투자"/>
      <sheetName val="개발(서영)"/>
      <sheetName val="개발(유신)"/>
      <sheetName val="개발(선진)"/>
      <sheetName val="개발(동일)"/>
      <sheetName val="개발(신성)"/>
      <sheetName val="활용(서영)"/>
      <sheetName val="활용(유신)"/>
      <sheetName val="활용(동일)"/>
      <sheetName val="활용(선진)"/>
      <sheetName val="활용(신성)"/>
      <sheetName val="중소기업 상생발전"/>
      <sheetName val="중복도"/>
      <sheetName val="중복신고"/>
      <sheetName val="가감점"/>
    </sheetNames>
    <sheetDataSet>
      <sheetData sheetId="0"/>
      <sheetData sheetId="1"/>
      <sheetData sheetId="2">
        <row r="3">
          <cell r="D3">
            <v>0.3</v>
          </cell>
        </row>
        <row r="4">
          <cell r="D4">
            <v>0.15</v>
          </cell>
        </row>
        <row r="5">
          <cell r="D5">
            <v>0.15</v>
          </cell>
        </row>
        <row r="6">
          <cell r="D6">
            <v>0.15</v>
          </cell>
        </row>
        <row r="7">
          <cell r="D7">
            <v>0.15</v>
          </cell>
        </row>
        <row r="113">
          <cell r="C113">
            <v>3</v>
          </cell>
        </row>
        <row r="114">
          <cell r="C114">
            <v>4</v>
          </cell>
        </row>
        <row r="120">
          <cell r="C120">
            <v>2</v>
          </cell>
        </row>
        <row r="126">
          <cell r="C126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23"/>
  <sheetViews>
    <sheetView tabSelected="1" workbookViewId="0">
      <selection activeCell="K6" sqref="K6"/>
    </sheetView>
  </sheetViews>
  <sheetFormatPr defaultRowHeight="13.5"/>
  <cols>
    <col min="1" max="13" width="8.88671875" style="146"/>
  </cols>
  <sheetData>
    <row r="2" spans="1:13" ht="32.25" customHeight="1">
      <c r="A2" s="147" t="s">
        <v>227</v>
      </c>
    </row>
    <row r="4" spans="1:13" s="150" customFormat="1" ht="26.25" customHeight="1">
      <c r="A4" s="148" t="s">
        <v>245</v>
      </c>
      <c r="B4" s="149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3" s="150" customFormat="1" ht="26.25" customHeight="1">
      <c r="A5" s="148" t="s">
        <v>383</v>
      </c>
      <c r="B5" s="149"/>
      <c r="C5" s="148"/>
      <c r="D5" s="148" t="s">
        <v>390</v>
      </c>
      <c r="E5" s="148"/>
      <c r="F5" s="148"/>
      <c r="G5" s="148"/>
      <c r="H5" s="148"/>
      <c r="I5" s="148"/>
      <c r="J5" s="148"/>
      <c r="K5" s="148"/>
      <c r="L5" s="148"/>
      <c r="M5" s="148"/>
    </row>
    <row r="6" spans="1:13" s="150" customFormat="1" ht="26.25" customHeight="1">
      <c r="A6" s="148" t="s">
        <v>384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</row>
    <row r="7" spans="1:13" s="150" customFormat="1" ht="26.25" customHeight="1">
      <c r="A7" s="148" t="s">
        <v>385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3" s="150" customFormat="1" ht="36.75" customHeight="1">
      <c r="A8" s="848" t="s">
        <v>540</v>
      </c>
      <c r="B8" s="848"/>
      <c r="C8" s="848"/>
      <c r="D8" s="848"/>
      <c r="E8" s="848"/>
      <c r="F8" s="848"/>
      <c r="G8" s="848"/>
      <c r="H8" s="848"/>
      <c r="I8" s="848"/>
      <c r="J8" s="848"/>
      <c r="K8" s="848"/>
      <c r="L8" s="148"/>
      <c r="M8" s="148"/>
    </row>
    <row r="9" spans="1:13" s="150" customFormat="1" ht="26.25" customHeight="1">
      <c r="A9" s="148" t="s">
        <v>386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3" ht="41.25" customHeight="1">
      <c r="A10" s="847" t="s">
        <v>387</v>
      </c>
      <c r="B10" s="847"/>
      <c r="C10" s="847"/>
      <c r="D10" s="847"/>
      <c r="E10" s="847"/>
      <c r="F10" s="847"/>
      <c r="G10" s="847"/>
      <c r="H10" s="847"/>
      <c r="I10" s="847"/>
      <c r="J10" s="847"/>
      <c r="K10" s="847"/>
      <c r="L10" s="847"/>
      <c r="M10" s="847"/>
    </row>
    <row r="11" spans="1:13" ht="26.25" customHeight="1">
      <c r="A11" s="148" t="s">
        <v>388</v>
      </c>
    </row>
    <row r="12" spans="1:13" ht="26.25" customHeight="1">
      <c r="A12" s="148" t="s">
        <v>389</v>
      </c>
    </row>
    <row r="13" spans="1:13" ht="26.25" customHeight="1">
      <c r="A13" s="148" t="s">
        <v>694</v>
      </c>
    </row>
    <row r="14" spans="1:13" ht="26.25" customHeight="1"/>
    <row r="15" spans="1:13" ht="26.25" customHeight="1"/>
    <row r="16" spans="1:13" ht="26.25" customHeight="1"/>
    <row r="23" spans="16:16">
      <c r="P23" s="553" t="e">
        <f>기술투자!#REF!</f>
        <v>#REF!</v>
      </c>
    </row>
  </sheetData>
  <mergeCells count="2">
    <mergeCell ref="A10:M10"/>
    <mergeCell ref="A8:K8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S8"/>
  <sheetViews>
    <sheetView view="pageBreakPreview" zoomScale="85" zoomScaleNormal="85" zoomScaleSheetLayoutView="85" workbookViewId="0">
      <selection activeCell="G13" sqref="G13"/>
    </sheetView>
  </sheetViews>
  <sheetFormatPr defaultRowHeight="13.5"/>
  <cols>
    <col min="1" max="1" width="3.77734375" customWidth="1"/>
    <col min="2" max="2" width="33.77734375" customWidth="1"/>
    <col min="3" max="3" width="36.77734375" customWidth="1"/>
    <col min="4" max="16" width="9.6640625" customWidth="1"/>
  </cols>
  <sheetData>
    <row r="1" spans="1:19" ht="50.25" customHeight="1">
      <c r="A1" s="320"/>
      <c r="B1" s="631" t="s">
        <v>435</v>
      </c>
      <c r="C1" s="325">
        <v>0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19" ht="19.5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  <c r="Q2" s="123"/>
    </row>
    <row r="3" spans="1:19" ht="20.25" thickBot="1">
      <c r="A3" s="320"/>
      <c r="B3" s="321" t="s">
        <v>469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  <c r="Q3" s="123"/>
    </row>
    <row r="4" spans="1:19" s="125" customFormat="1" ht="33" customHeight="1">
      <c r="A4" s="1016" t="s">
        <v>25</v>
      </c>
      <c r="B4" s="1005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6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19" s="125" customFormat="1" ht="33" customHeight="1">
      <c r="A5" s="1017"/>
      <c r="B5" s="1006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19" ht="320.25" customHeight="1">
      <c r="A6" s="647">
        <v>1</v>
      </c>
      <c r="B6" s="726" t="s">
        <v>424</v>
      </c>
      <c r="C6" s="632" t="s">
        <v>489</v>
      </c>
      <c r="D6" s="724" t="s">
        <v>486</v>
      </c>
      <c r="E6" s="725">
        <v>4963</v>
      </c>
      <c r="F6" s="724" t="s">
        <v>487</v>
      </c>
      <c r="G6" s="724" t="s">
        <v>488</v>
      </c>
      <c r="H6" s="719">
        <f>IF(G6-F6+1&gt;=2*365,2*365,G6-F6+1)</f>
        <v>730</v>
      </c>
      <c r="I6" s="724" t="s">
        <v>487</v>
      </c>
      <c r="J6" s="724" t="s">
        <v>488</v>
      </c>
      <c r="K6" s="719">
        <f>IF(J6-I6+1&gt;=2*365,2*365,J6-I6+1)</f>
        <v>730</v>
      </c>
      <c r="L6" s="719">
        <v>565000</v>
      </c>
      <c r="M6" s="633">
        <f>(IF(L7&gt;=3300000,3,IF(L7&gt;=1650000,2,1)))</f>
        <v>1</v>
      </c>
      <c r="N6" s="719" t="s">
        <v>490</v>
      </c>
      <c r="O6" s="633">
        <f>E6-P6</f>
        <v>2084</v>
      </c>
      <c r="P6" s="681">
        <f>502+1744+633</f>
        <v>2879</v>
      </c>
      <c r="Q6" s="682">
        <f>P6/(배점기준!$G$9/1000)*M6</f>
        <v>1.9119671611836797</v>
      </c>
      <c r="R6" s="637">
        <f>(IF(P6&lt;231,0,IF(Q6&gt;=4,6,IF(Q6&gt;=3.5,5,IF(Q6&gt;=3,4,IF(Q6&gt;=2.5,3,IF(Q6&gt;=2,2,IF(Q6&gt;=1.5,1.5,IF(Q6&gt;=1,1,IF(Q6&gt;=0.5,0.5,0.25))))))))))*K6/H6</f>
        <v>1.5</v>
      </c>
    </row>
    <row r="7" spans="1:19" ht="50.1" customHeight="1">
      <c r="A7" s="1012" t="s">
        <v>470</v>
      </c>
      <c r="B7" s="1013"/>
      <c r="C7" s="1013"/>
      <c r="D7" s="1013"/>
      <c r="E7" s="1013"/>
      <c r="F7" s="1013"/>
      <c r="G7" s="1013"/>
      <c r="H7" s="1013"/>
      <c r="I7" s="1013"/>
      <c r="J7" s="1013"/>
      <c r="K7" s="1013"/>
      <c r="L7" s="1013"/>
      <c r="M7" s="1013"/>
      <c r="N7" s="1013"/>
      <c r="O7" s="1013"/>
      <c r="P7" s="1013"/>
      <c r="Q7" s="1014"/>
      <c r="R7" s="346">
        <f>SUM(R6:R6)</f>
        <v>1.5</v>
      </c>
    </row>
    <row r="8" spans="1:19" ht="50.1" customHeight="1" thickBot="1">
      <c r="A8" s="1007" t="s">
        <v>471</v>
      </c>
      <c r="B8" s="1008"/>
      <c r="C8" s="1008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15"/>
      <c r="R8" s="345">
        <f>R7</f>
        <v>1.5</v>
      </c>
    </row>
  </sheetData>
  <mergeCells count="17">
    <mergeCell ref="C4:C5"/>
    <mergeCell ref="D4:D5"/>
    <mergeCell ref="R4:R5"/>
    <mergeCell ref="S4:S5"/>
    <mergeCell ref="A7:Q7"/>
    <mergeCell ref="A8:Q8"/>
    <mergeCell ref="Q4:Q5"/>
    <mergeCell ref="M4:M5"/>
    <mergeCell ref="N4:N5"/>
    <mergeCell ref="O4:O5"/>
    <mergeCell ref="P4:P5"/>
    <mergeCell ref="E4:E5"/>
    <mergeCell ref="F4:H4"/>
    <mergeCell ref="I4:K4"/>
    <mergeCell ref="L4:L5"/>
    <mergeCell ref="A4:A5"/>
    <mergeCell ref="B4:B5"/>
  </mergeCells>
  <phoneticPr fontId="2" type="noConversion"/>
  <pageMargins left="0.75" right="0.75" top="1" bottom="1" header="0.5" footer="0.5"/>
  <pageSetup paperSize="9" scale="4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8"/>
  <sheetViews>
    <sheetView view="pageBreakPreview" zoomScale="85" zoomScaleNormal="85" zoomScaleSheetLayoutView="85" workbookViewId="0">
      <selection activeCell="A3" sqref="A3:XFD8"/>
    </sheetView>
  </sheetViews>
  <sheetFormatPr defaultRowHeight="13.5"/>
  <cols>
    <col min="1" max="1" width="3.77734375" customWidth="1"/>
    <col min="2" max="2" width="19.77734375" customWidth="1"/>
    <col min="3" max="3" width="36.77734375" customWidth="1"/>
    <col min="4" max="4" width="9.6640625" customWidth="1"/>
    <col min="5" max="5" width="9.5546875" bestFit="1" customWidth="1"/>
    <col min="6" max="7" width="11.5546875" bestFit="1" customWidth="1"/>
    <col min="8" max="16" width="9.6640625" customWidth="1"/>
  </cols>
  <sheetData>
    <row r="1" spans="1:20" ht="50.25" customHeight="1">
      <c r="A1" s="320"/>
      <c r="B1" s="631" t="s">
        <v>434</v>
      </c>
      <c r="C1" s="325" t="s">
        <v>683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</sheetData>
  <mergeCells count="17">
    <mergeCell ref="N4:N5"/>
    <mergeCell ref="I4:K4"/>
    <mergeCell ref="R4:R5"/>
    <mergeCell ref="S4:S5"/>
    <mergeCell ref="A7:Q7"/>
    <mergeCell ref="A8:Q8"/>
    <mergeCell ref="P4:P5"/>
    <mergeCell ref="Q4:Q5"/>
    <mergeCell ref="O4:O5"/>
    <mergeCell ref="A4:A5"/>
    <mergeCell ref="B4:B5"/>
    <mergeCell ref="C4:C5"/>
    <mergeCell ref="F4:H4"/>
    <mergeCell ref="E4:E5"/>
    <mergeCell ref="D4:D5"/>
    <mergeCell ref="L4:L5"/>
    <mergeCell ref="M4:M5"/>
  </mergeCells>
  <phoneticPr fontId="2" type="noConversion"/>
  <pageMargins left="0.75" right="0.75" top="1" bottom="1" header="0.5" footer="0.5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8"/>
  <sheetViews>
    <sheetView zoomScale="85" workbookViewId="0">
      <selection activeCell="N31" sqref="N31"/>
    </sheetView>
  </sheetViews>
  <sheetFormatPr defaultRowHeight="13.5"/>
  <cols>
    <col min="1" max="1" width="5.88671875" customWidth="1"/>
    <col min="2" max="2" width="19.77734375" customWidth="1"/>
    <col min="3" max="3" width="28.88671875" customWidth="1"/>
    <col min="6" max="16" width="9.6640625" customWidth="1"/>
    <col min="17" max="17" width="5.33203125" customWidth="1"/>
  </cols>
  <sheetData>
    <row r="1" spans="1:20" ht="50.25" customHeight="1">
      <c r="A1" s="320"/>
      <c r="B1" s="631" t="s">
        <v>468</v>
      </c>
      <c r="C1" s="325" t="s">
        <v>684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ht="19.5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  <c r="Q2" s="123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</sheetData>
  <mergeCells count="17">
    <mergeCell ref="C4:C5"/>
    <mergeCell ref="D4:D5"/>
    <mergeCell ref="R4:R5"/>
    <mergeCell ref="S4:S5"/>
    <mergeCell ref="A7:Q7"/>
    <mergeCell ref="A8:Q8"/>
    <mergeCell ref="Q4:Q5"/>
    <mergeCell ref="M4:M5"/>
    <mergeCell ref="N4:N5"/>
    <mergeCell ref="O4:O5"/>
    <mergeCell ref="P4:P5"/>
    <mergeCell ref="E4:E5"/>
    <mergeCell ref="F4:H4"/>
    <mergeCell ref="I4:K4"/>
    <mergeCell ref="L4:L5"/>
    <mergeCell ref="A4:A5"/>
    <mergeCell ref="B4:B5"/>
  </mergeCells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T123"/>
  <sheetViews>
    <sheetView view="pageBreakPreview" zoomScale="85" zoomScaleNormal="85" zoomScaleSheetLayoutView="85" workbookViewId="0">
      <pane xSplit="3" topLeftCell="D1" activePane="topRight" state="frozen"/>
      <selection activeCell="J9" sqref="J9"/>
      <selection pane="topRight" activeCell="H17" sqref="H17"/>
    </sheetView>
  </sheetViews>
  <sheetFormatPr defaultRowHeight="12" customHeight="1"/>
  <cols>
    <col min="1" max="1" width="3.77734375" style="136" customWidth="1"/>
    <col min="2" max="2" width="26.5546875" style="132" customWidth="1"/>
    <col min="3" max="3" width="26.77734375" style="132" customWidth="1"/>
    <col min="4" max="4" width="12" style="132" customWidth="1"/>
    <col min="5" max="5" width="9.6640625" style="132" bestFit="1" customWidth="1"/>
    <col min="6" max="7" width="10.33203125" style="132" bestFit="1" customWidth="1"/>
    <col min="8" max="8" width="9.6640625" style="133" bestFit="1" customWidth="1"/>
    <col min="9" max="9" width="10.33203125" style="140" bestFit="1" customWidth="1"/>
    <col min="10" max="10" width="10.109375" style="140" bestFit="1" customWidth="1"/>
    <col min="11" max="11" width="9.5546875" style="163" customWidth="1"/>
    <col min="12" max="12" width="8.44140625" style="135" bestFit="1" customWidth="1"/>
    <col min="13" max="13" width="8.44140625" style="135" customWidth="1"/>
    <col min="14" max="14" width="7.88671875" style="135" customWidth="1"/>
    <col min="15" max="15" width="6.33203125" style="135" customWidth="1"/>
    <col min="16" max="16" width="5.77734375" style="130" customWidth="1"/>
    <col min="17" max="17" width="5.33203125" style="127" customWidth="1"/>
    <col min="18" max="16384" width="8.88671875" style="127"/>
  </cols>
  <sheetData>
    <row r="1" spans="1:20" s="124" customFormat="1" ht="50.25" customHeight="1">
      <c r="A1" s="320"/>
      <c r="B1" s="594" t="s">
        <v>626</v>
      </c>
      <c r="C1" s="325" t="s">
        <v>685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s="188" customFormat="1" ht="10.5" customHeight="1">
      <c r="A2" s="568"/>
      <c r="B2" s="568"/>
      <c r="C2" s="568"/>
      <c r="D2" s="568"/>
      <c r="E2" s="568"/>
      <c r="F2" s="568"/>
      <c r="G2" s="568"/>
      <c r="H2" s="568"/>
      <c r="I2" s="568"/>
      <c r="J2" s="187"/>
      <c r="K2" s="187"/>
      <c r="L2" s="187"/>
      <c r="M2" s="187"/>
      <c r="N2" s="187"/>
      <c r="O2" s="187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  <row r="9" spans="1:20" s="160" customFormat="1" ht="18.75" customHeight="1">
      <c r="A9" s="248"/>
      <c r="B9" s="159"/>
      <c r="C9" s="159"/>
      <c r="D9" s="159"/>
      <c r="E9" s="159"/>
      <c r="F9" s="159"/>
      <c r="G9" s="159"/>
      <c r="K9" s="322"/>
      <c r="L9" s="161"/>
      <c r="M9" s="161"/>
      <c r="N9" s="161"/>
      <c r="O9" s="161"/>
    </row>
    <row r="10" spans="1:20" s="158" customFormat="1" ht="18.75" customHeight="1">
      <c r="A10" s="248"/>
      <c r="B10" s="159"/>
      <c r="C10" s="159"/>
      <c r="D10" s="159"/>
      <c r="E10" s="159"/>
      <c r="F10" s="162"/>
      <c r="G10" s="162"/>
      <c r="H10" s="162"/>
      <c r="I10" s="162"/>
      <c r="J10" s="162"/>
      <c r="K10" s="160"/>
    </row>
    <row r="11" spans="1:20" s="158" customFormat="1" ht="42.75" customHeight="1">
      <c r="A11" s="248"/>
      <c r="B11" s="990"/>
      <c r="C11" s="990"/>
      <c r="D11" s="990"/>
      <c r="E11" s="990"/>
      <c r="F11" s="990"/>
      <c r="G11" s="990"/>
      <c r="H11" s="990"/>
      <c r="I11" s="162"/>
      <c r="J11" s="162"/>
      <c r="K11" s="160"/>
    </row>
    <row r="12" spans="1:20" s="158" customFormat="1" ht="18.75" customHeight="1">
      <c r="A12" s="248"/>
      <c r="C12" s="159"/>
      <c r="D12" s="159"/>
      <c r="E12" s="159"/>
      <c r="F12" s="162"/>
      <c r="G12" s="162"/>
      <c r="H12" s="162"/>
      <c r="I12" s="162"/>
      <c r="J12" s="162"/>
      <c r="K12" s="160"/>
    </row>
    <row r="13" spans="1:20" s="158" customFormat="1" ht="18.75" customHeight="1">
      <c r="A13" s="248"/>
      <c r="B13" s="159"/>
      <c r="C13" s="159"/>
      <c r="D13" s="159"/>
      <c r="E13" s="159"/>
      <c r="F13" s="162"/>
      <c r="G13" s="162"/>
      <c r="H13" s="162"/>
      <c r="I13" s="162"/>
      <c r="J13" s="162"/>
      <c r="K13" s="160"/>
    </row>
    <row r="14" spans="1:20" s="158" customFormat="1" ht="18.75" customHeight="1">
      <c r="A14" s="248"/>
      <c r="B14" s="159"/>
      <c r="C14" s="159"/>
      <c r="D14" s="159"/>
      <c r="E14" s="159"/>
      <c r="F14" s="159"/>
      <c r="G14" s="159"/>
      <c r="H14" s="160"/>
      <c r="I14" s="162"/>
      <c r="J14" s="162"/>
      <c r="K14" s="160"/>
    </row>
    <row r="15" spans="1:20" s="160" customFormat="1" ht="55.5" customHeight="1">
      <c r="A15" s="248"/>
      <c r="B15" s="991"/>
      <c r="C15" s="991"/>
      <c r="D15" s="991"/>
      <c r="E15" s="991"/>
      <c r="F15" s="991"/>
      <c r="G15" s="991"/>
      <c r="H15" s="991"/>
      <c r="I15" s="991"/>
      <c r="J15" s="991"/>
      <c r="K15" s="991"/>
      <c r="L15" s="991"/>
      <c r="M15" s="991"/>
      <c r="N15" s="161"/>
      <c r="O15" s="161"/>
    </row>
    <row r="16" spans="1:20" s="160" customFormat="1" ht="18.75" customHeight="1">
      <c r="A16" s="248"/>
      <c r="B16" s="159"/>
      <c r="C16" s="159"/>
      <c r="D16" s="159"/>
      <c r="E16" s="159"/>
      <c r="F16" s="159"/>
      <c r="G16" s="159"/>
      <c r="K16" s="322"/>
      <c r="L16" s="161"/>
      <c r="M16" s="161"/>
      <c r="N16" s="161"/>
      <c r="O16" s="161"/>
    </row>
    <row r="17" spans="1:16" s="160" customFormat="1" ht="18.75" customHeight="1">
      <c r="A17" s="248"/>
      <c r="B17" s="165"/>
      <c r="C17" s="165"/>
      <c r="D17" s="165"/>
      <c r="E17" s="165"/>
      <c r="F17" s="159"/>
      <c r="G17" s="159"/>
      <c r="K17" s="322"/>
      <c r="L17" s="161"/>
      <c r="M17" s="161"/>
      <c r="N17" s="161"/>
      <c r="O17" s="161"/>
    </row>
    <row r="18" spans="1:16" s="160" customFormat="1" ht="15" customHeight="1">
      <c r="B18" s="165"/>
      <c r="C18" s="165"/>
      <c r="D18" s="165"/>
      <c r="E18" s="165"/>
      <c r="F18" s="159"/>
      <c r="G18" s="159"/>
      <c r="K18" s="322"/>
      <c r="L18" s="161"/>
      <c r="M18" s="161"/>
      <c r="N18" s="161"/>
      <c r="O18" s="161"/>
    </row>
    <row r="19" spans="1:16" s="160" customFormat="1" ht="15" customHeight="1">
      <c r="B19" s="165"/>
      <c r="C19" s="165"/>
      <c r="D19" s="165"/>
      <c r="E19" s="165"/>
      <c r="F19" s="159"/>
      <c r="G19" s="159"/>
      <c r="K19" s="322"/>
      <c r="L19" s="161"/>
      <c r="M19" s="161"/>
      <c r="N19" s="161"/>
      <c r="O19" s="161"/>
    </row>
    <row r="20" spans="1:16" s="195" customFormat="1" ht="15" customHeight="1">
      <c r="A20" s="159"/>
      <c r="B20" s="159"/>
      <c r="C20" s="159"/>
      <c r="D20" s="159"/>
      <c r="E20" s="159"/>
      <c r="F20" s="196"/>
      <c r="G20" s="196"/>
      <c r="H20" s="160"/>
      <c r="I20" s="160"/>
      <c r="J20" s="160"/>
      <c r="K20" s="209"/>
      <c r="L20" s="197"/>
      <c r="M20" s="197"/>
      <c r="N20" s="197"/>
      <c r="O20" s="197"/>
      <c r="P20" s="198"/>
    </row>
    <row r="21" spans="1:16" ht="15" customHeight="1">
      <c r="B21" s="145"/>
      <c r="C21" s="145"/>
      <c r="D21" s="145"/>
      <c r="E21" s="145"/>
      <c r="F21" s="137"/>
      <c r="G21" s="137"/>
      <c r="H21" s="138"/>
      <c r="I21" s="139"/>
      <c r="J21" s="139"/>
    </row>
    <row r="22" spans="1:16" ht="15" customHeight="1">
      <c r="C22" s="137"/>
      <c r="D22" s="137"/>
      <c r="E22" s="137"/>
      <c r="F22" s="137"/>
      <c r="G22" s="137"/>
      <c r="H22" s="138"/>
      <c r="I22" s="139"/>
      <c r="J22" s="139"/>
    </row>
    <row r="23" spans="1:16" ht="15" customHeight="1">
      <c r="C23" s="137"/>
      <c r="D23" s="137"/>
      <c r="E23" s="137"/>
      <c r="F23" s="137"/>
      <c r="G23" s="137"/>
      <c r="H23" s="138"/>
      <c r="I23" s="139"/>
      <c r="J23" s="139"/>
    </row>
    <row r="24" spans="1:16" ht="12" customHeight="1">
      <c r="C24" s="137"/>
      <c r="D24" s="137"/>
      <c r="E24" s="137"/>
      <c r="F24" s="137"/>
      <c r="G24" s="137"/>
      <c r="H24" s="138"/>
      <c r="I24" s="139"/>
      <c r="J24" s="139"/>
    </row>
    <row r="25" spans="1:16" ht="12" customHeight="1">
      <c r="C25" s="137"/>
      <c r="D25" s="137"/>
      <c r="E25" s="137"/>
      <c r="F25" s="137"/>
      <c r="G25" s="137"/>
      <c r="H25" s="138"/>
      <c r="I25" s="139"/>
      <c r="J25" s="139"/>
    </row>
    <row r="26" spans="1:16" ht="12" customHeight="1">
      <c r="C26" s="137"/>
      <c r="D26" s="137"/>
      <c r="E26" s="137"/>
      <c r="F26" s="137"/>
      <c r="G26" s="137"/>
      <c r="H26" s="138"/>
      <c r="I26" s="139"/>
      <c r="J26" s="139"/>
    </row>
    <row r="27" spans="1:16" ht="12" customHeight="1">
      <c r="C27" s="137"/>
      <c r="D27" s="137"/>
      <c r="E27" s="137"/>
      <c r="F27" s="137"/>
      <c r="G27" s="137"/>
      <c r="H27" s="138"/>
      <c r="I27" s="139"/>
      <c r="J27" s="139"/>
    </row>
    <row r="28" spans="1:16" ht="12" customHeight="1">
      <c r="C28" s="137"/>
      <c r="D28" s="137"/>
      <c r="E28" s="137"/>
      <c r="F28" s="137"/>
      <c r="G28" s="137"/>
      <c r="H28" s="138"/>
      <c r="I28" s="139"/>
      <c r="J28" s="139"/>
    </row>
    <row r="29" spans="1:16" ht="12" customHeight="1">
      <c r="C29" s="137"/>
      <c r="D29" s="137"/>
      <c r="E29" s="137"/>
      <c r="F29" s="137"/>
      <c r="G29" s="137"/>
      <c r="H29" s="138"/>
      <c r="I29" s="139"/>
      <c r="J29" s="139"/>
    </row>
    <row r="30" spans="1:16" ht="12" customHeight="1">
      <c r="C30" s="137"/>
      <c r="D30" s="137"/>
      <c r="E30" s="137"/>
      <c r="F30" s="137"/>
      <c r="G30" s="137"/>
      <c r="H30" s="138"/>
      <c r="I30" s="139"/>
      <c r="J30" s="139"/>
    </row>
    <row r="31" spans="1:16" ht="12" customHeight="1">
      <c r="C31" s="137"/>
      <c r="D31" s="137"/>
      <c r="E31" s="137"/>
      <c r="F31" s="137"/>
      <c r="G31" s="137"/>
      <c r="H31" s="138"/>
      <c r="I31" s="139"/>
      <c r="J31" s="139"/>
    </row>
    <row r="32" spans="1:16" ht="12" customHeight="1">
      <c r="C32" s="137"/>
      <c r="D32" s="137"/>
      <c r="E32" s="137"/>
      <c r="F32" s="137"/>
      <c r="G32" s="137"/>
      <c r="H32" s="138"/>
      <c r="I32" s="139"/>
      <c r="J32" s="139"/>
    </row>
    <row r="33" spans="1:19" ht="12" customHeight="1">
      <c r="C33" s="137"/>
      <c r="D33" s="137"/>
      <c r="E33" s="137"/>
      <c r="F33" s="137"/>
      <c r="G33" s="137"/>
      <c r="H33" s="138"/>
      <c r="I33" s="139"/>
      <c r="J33" s="139"/>
    </row>
    <row r="34" spans="1:19" ht="12" customHeight="1">
      <c r="C34" s="137"/>
      <c r="D34" s="137"/>
      <c r="E34" s="137"/>
      <c r="F34" s="137"/>
      <c r="G34" s="137"/>
      <c r="H34" s="138"/>
      <c r="I34" s="139"/>
      <c r="J34" s="139"/>
    </row>
    <row r="35" spans="1:19" s="163" customFormat="1" ht="12" customHeight="1">
      <c r="A35" s="136"/>
      <c r="B35" s="132"/>
      <c r="C35" s="137"/>
      <c r="D35" s="137"/>
      <c r="E35" s="137"/>
      <c r="F35" s="137"/>
      <c r="G35" s="137"/>
      <c r="H35" s="138"/>
      <c r="I35" s="139"/>
      <c r="J35" s="139"/>
      <c r="L35" s="135"/>
      <c r="M35" s="135"/>
      <c r="N35" s="135"/>
      <c r="O35" s="135"/>
      <c r="P35" s="130"/>
      <c r="Q35" s="127"/>
      <c r="R35" s="127"/>
      <c r="S35" s="127"/>
    </row>
    <row r="36" spans="1:19" s="163" customFormat="1" ht="12" customHeight="1">
      <c r="A36" s="136"/>
      <c r="B36" s="132"/>
      <c r="C36" s="137"/>
      <c r="D36" s="137"/>
      <c r="E36" s="137"/>
      <c r="F36" s="137"/>
      <c r="G36" s="137"/>
      <c r="H36" s="138"/>
      <c r="I36" s="139"/>
      <c r="J36" s="139"/>
      <c r="L36" s="135"/>
      <c r="M36" s="135"/>
      <c r="N36" s="135"/>
      <c r="O36" s="135"/>
      <c r="P36" s="130"/>
      <c r="Q36" s="127"/>
      <c r="R36" s="127"/>
      <c r="S36" s="127"/>
    </row>
    <row r="37" spans="1:19" s="163" customFormat="1" ht="12" customHeight="1">
      <c r="A37" s="136"/>
      <c r="B37" s="132"/>
      <c r="C37" s="137"/>
      <c r="D37" s="137"/>
      <c r="E37" s="137"/>
      <c r="F37" s="137"/>
      <c r="G37" s="137"/>
      <c r="H37" s="138"/>
      <c r="I37" s="139"/>
      <c r="J37" s="139"/>
      <c r="L37" s="135"/>
      <c r="M37" s="135"/>
      <c r="N37" s="135"/>
      <c r="O37" s="135"/>
      <c r="P37" s="130"/>
      <c r="Q37" s="127"/>
      <c r="R37" s="127"/>
      <c r="S37" s="127"/>
    </row>
    <row r="38" spans="1:19" s="163" customFormat="1" ht="12" customHeight="1">
      <c r="A38" s="136"/>
      <c r="B38" s="132"/>
      <c r="C38" s="137"/>
      <c r="D38" s="137"/>
      <c r="E38" s="137"/>
      <c r="F38" s="137"/>
      <c r="G38" s="137"/>
      <c r="H38" s="138"/>
      <c r="I38" s="139"/>
      <c r="J38" s="139"/>
      <c r="L38" s="135"/>
      <c r="M38" s="135"/>
      <c r="N38" s="135"/>
      <c r="O38" s="135"/>
      <c r="P38" s="130"/>
      <c r="Q38" s="127"/>
      <c r="R38" s="127"/>
      <c r="S38" s="127"/>
    </row>
    <row r="39" spans="1:19" s="163" customFormat="1" ht="12" customHeight="1">
      <c r="A39" s="136"/>
      <c r="B39" s="132"/>
      <c r="C39" s="137"/>
      <c r="D39" s="137"/>
      <c r="E39" s="137"/>
      <c r="F39" s="137"/>
      <c r="G39" s="137"/>
      <c r="H39" s="138"/>
      <c r="I39" s="139"/>
      <c r="J39" s="139"/>
      <c r="L39" s="135"/>
      <c r="M39" s="135"/>
      <c r="N39" s="135"/>
      <c r="O39" s="135"/>
      <c r="P39" s="130"/>
      <c r="Q39" s="127"/>
      <c r="R39" s="127"/>
      <c r="S39" s="127"/>
    </row>
    <row r="40" spans="1:19" s="163" customFormat="1" ht="12" customHeight="1">
      <c r="A40" s="136"/>
      <c r="B40" s="132"/>
      <c r="C40" s="137"/>
      <c r="D40" s="137"/>
      <c r="E40" s="137"/>
      <c r="F40" s="137"/>
      <c r="G40" s="137"/>
      <c r="H40" s="138"/>
      <c r="I40" s="139"/>
      <c r="J40" s="139"/>
      <c r="L40" s="135"/>
      <c r="M40" s="135"/>
      <c r="N40" s="135"/>
      <c r="O40" s="135"/>
      <c r="P40" s="130"/>
      <c r="Q40" s="127"/>
      <c r="R40" s="127"/>
      <c r="S40" s="127"/>
    </row>
    <row r="41" spans="1:19" s="163" customFormat="1" ht="12" customHeight="1">
      <c r="A41" s="136"/>
      <c r="B41" s="132"/>
      <c r="C41" s="137"/>
      <c r="D41" s="137"/>
      <c r="E41" s="137"/>
      <c r="F41" s="137"/>
      <c r="G41" s="137"/>
      <c r="H41" s="138"/>
      <c r="I41" s="139"/>
      <c r="J41" s="139"/>
      <c r="L41" s="135"/>
      <c r="M41" s="135"/>
      <c r="N41" s="135"/>
      <c r="O41" s="135"/>
      <c r="P41" s="130"/>
      <c r="Q41" s="127"/>
      <c r="R41" s="127"/>
      <c r="S41" s="127"/>
    </row>
    <row r="42" spans="1:19" s="163" customFormat="1" ht="12" customHeight="1">
      <c r="A42" s="136"/>
      <c r="B42" s="132"/>
      <c r="C42" s="137"/>
      <c r="D42" s="137"/>
      <c r="E42" s="137"/>
      <c r="F42" s="137"/>
      <c r="G42" s="137"/>
      <c r="H42" s="138"/>
      <c r="I42" s="139"/>
      <c r="J42" s="139"/>
      <c r="L42" s="135"/>
      <c r="M42" s="135"/>
      <c r="N42" s="135"/>
      <c r="O42" s="135"/>
      <c r="P42" s="130"/>
      <c r="Q42" s="127"/>
      <c r="R42" s="127"/>
      <c r="S42" s="127"/>
    </row>
    <row r="43" spans="1:19" s="163" customFormat="1" ht="12" customHeight="1">
      <c r="A43" s="136"/>
      <c r="B43" s="132"/>
      <c r="C43" s="137"/>
      <c r="D43" s="137"/>
      <c r="E43" s="137"/>
      <c r="F43" s="137"/>
      <c r="G43" s="137"/>
      <c r="H43" s="138"/>
      <c r="I43" s="139"/>
      <c r="J43" s="139"/>
      <c r="L43" s="135"/>
      <c r="M43" s="135"/>
      <c r="N43" s="135"/>
      <c r="O43" s="135"/>
      <c r="P43" s="130"/>
      <c r="Q43" s="127"/>
      <c r="R43" s="127"/>
      <c r="S43" s="127"/>
    </row>
    <row r="44" spans="1:19" s="163" customFormat="1" ht="12" customHeight="1">
      <c r="A44" s="136"/>
      <c r="B44" s="132"/>
      <c r="C44" s="137"/>
      <c r="D44" s="137"/>
      <c r="E44" s="137"/>
      <c r="F44" s="137"/>
      <c r="G44" s="137"/>
      <c r="H44" s="138"/>
      <c r="I44" s="139"/>
      <c r="J44" s="139"/>
      <c r="L44" s="135"/>
      <c r="M44" s="135"/>
      <c r="N44" s="135"/>
      <c r="O44" s="135"/>
      <c r="P44" s="130"/>
      <c r="Q44" s="127"/>
      <c r="R44" s="127"/>
      <c r="S44" s="127"/>
    </row>
    <row r="45" spans="1:19" s="163" customFormat="1" ht="12" customHeight="1">
      <c r="A45" s="136"/>
      <c r="B45" s="132"/>
      <c r="C45" s="137"/>
      <c r="D45" s="137"/>
      <c r="E45" s="137"/>
      <c r="F45" s="137"/>
      <c r="G45" s="137"/>
      <c r="H45" s="138"/>
      <c r="I45" s="139"/>
      <c r="J45" s="139"/>
      <c r="L45" s="135"/>
      <c r="M45" s="135"/>
      <c r="N45" s="135"/>
      <c r="O45" s="135"/>
      <c r="P45" s="130"/>
      <c r="Q45" s="127"/>
      <c r="R45" s="127"/>
      <c r="S45" s="127"/>
    </row>
    <row r="46" spans="1:19" s="163" customFormat="1" ht="12" customHeight="1">
      <c r="A46" s="136"/>
      <c r="B46" s="132"/>
      <c r="C46" s="137"/>
      <c r="D46" s="137"/>
      <c r="E46" s="137"/>
      <c r="F46" s="137"/>
      <c r="G46" s="137"/>
      <c r="H46" s="138"/>
      <c r="I46" s="139"/>
      <c r="J46" s="139"/>
      <c r="L46" s="135"/>
      <c r="M46" s="135"/>
      <c r="N46" s="135"/>
      <c r="O46" s="135"/>
      <c r="P46" s="130"/>
      <c r="Q46" s="127"/>
      <c r="R46" s="127"/>
      <c r="S46" s="127"/>
    </row>
    <row r="47" spans="1:19" s="163" customFormat="1" ht="12" customHeight="1">
      <c r="A47" s="136"/>
      <c r="B47" s="132"/>
      <c r="C47" s="137"/>
      <c r="D47" s="137"/>
      <c r="E47" s="137"/>
      <c r="F47" s="137"/>
      <c r="G47" s="137"/>
      <c r="H47" s="138"/>
      <c r="I47" s="139"/>
      <c r="J47" s="139"/>
      <c r="L47" s="135"/>
      <c r="M47" s="135"/>
      <c r="N47" s="135"/>
      <c r="O47" s="135"/>
      <c r="P47" s="130"/>
      <c r="Q47" s="127"/>
      <c r="R47" s="127"/>
      <c r="S47" s="127"/>
    </row>
    <row r="48" spans="1:19" s="163" customFormat="1" ht="12" customHeight="1">
      <c r="A48" s="136"/>
      <c r="B48" s="132"/>
      <c r="C48" s="137"/>
      <c r="D48" s="137"/>
      <c r="E48" s="137"/>
      <c r="F48" s="137"/>
      <c r="G48" s="137"/>
      <c r="H48" s="138"/>
      <c r="I48" s="139"/>
      <c r="J48" s="139"/>
      <c r="L48" s="135"/>
      <c r="M48" s="135"/>
      <c r="N48" s="135"/>
      <c r="O48" s="135"/>
      <c r="P48" s="130"/>
      <c r="Q48" s="127"/>
      <c r="R48" s="127"/>
      <c r="S48" s="127"/>
    </row>
    <row r="49" spans="1:19" s="163" customFormat="1" ht="12" customHeight="1">
      <c r="A49" s="136"/>
      <c r="B49" s="132"/>
      <c r="C49" s="137"/>
      <c r="D49" s="137"/>
      <c r="E49" s="137"/>
      <c r="F49" s="137"/>
      <c r="G49" s="137"/>
      <c r="H49" s="138"/>
      <c r="I49" s="139"/>
      <c r="J49" s="139"/>
      <c r="L49" s="135"/>
      <c r="M49" s="135"/>
      <c r="N49" s="135"/>
      <c r="O49" s="135"/>
      <c r="P49" s="130"/>
      <c r="Q49" s="127"/>
      <c r="R49" s="127"/>
      <c r="S49" s="127"/>
    </row>
    <row r="50" spans="1:19" s="163" customFormat="1" ht="12" customHeight="1">
      <c r="A50" s="136"/>
      <c r="B50" s="132"/>
      <c r="C50" s="137"/>
      <c r="D50" s="137"/>
      <c r="E50" s="137"/>
      <c r="F50" s="137"/>
      <c r="G50" s="137"/>
      <c r="H50" s="138"/>
      <c r="I50" s="139"/>
      <c r="J50" s="139"/>
      <c r="L50" s="135"/>
      <c r="M50" s="135"/>
      <c r="N50" s="135"/>
      <c r="O50" s="135"/>
      <c r="P50" s="130"/>
      <c r="Q50" s="127"/>
      <c r="R50" s="127"/>
      <c r="S50" s="127"/>
    </row>
    <row r="51" spans="1:19" s="163" customFormat="1" ht="12" customHeight="1">
      <c r="A51" s="136"/>
      <c r="B51" s="132"/>
      <c r="C51" s="137"/>
      <c r="D51" s="137"/>
      <c r="E51" s="137"/>
      <c r="F51" s="137"/>
      <c r="G51" s="137"/>
      <c r="H51" s="138"/>
      <c r="I51" s="139"/>
      <c r="J51" s="139"/>
      <c r="L51" s="135"/>
      <c r="M51" s="135"/>
      <c r="N51" s="135"/>
      <c r="O51" s="135"/>
      <c r="P51" s="130"/>
      <c r="Q51" s="127"/>
      <c r="R51" s="127"/>
      <c r="S51" s="127"/>
    </row>
    <row r="52" spans="1:19" s="163" customFormat="1" ht="12" customHeight="1">
      <c r="A52" s="136"/>
      <c r="B52" s="132"/>
      <c r="C52" s="137"/>
      <c r="D52" s="137"/>
      <c r="E52" s="137"/>
      <c r="F52" s="137"/>
      <c r="G52" s="137"/>
      <c r="H52" s="138"/>
      <c r="I52" s="139"/>
      <c r="J52" s="139"/>
      <c r="L52" s="135"/>
      <c r="M52" s="135"/>
      <c r="N52" s="135"/>
      <c r="O52" s="135"/>
      <c r="P52" s="130"/>
      <c r="Q52" s="127"/>
      <c r="R52" s="127"/>
      <c r="S52" s="127"/>
    </row>
    <row r="53" spans="1:19" s="163" customFormat="1" ht="12" customHeight="1">
      <c r="A53" s="136"/>
      <c r="B53" s="132"/>
      <c r="C53" s="137"/>
      <c r="D53" s="137"/>
      <c r="E53" s="137"/>
      <c r="F53" s="137"/>
      <c r="G53" s="137"/>
      <c r="H53" s="138"/>
      <c r="I53" s="139"/>
      <c r="J53" s="139"/>
      <c r="L53" s="135"/>
      <c r="M53" s="135"/>
      <c r="N53" s="135"/>
      <c r="O53" s="135"/>
      <c r="P53" s="130"/>
      <c r="Q53" s="127"/>
      <c r="R53" s="127"/>
      <c r="S53" s="127"/>
    </row>
    <row r="54" spans="1:19" s="163" customFormat="1" ht="12" customHeight="1">
      <c r="A54" s="136"/>
      <c r="B54" s="132"/>
      <c r="C54" s="137"/>
      <c r="D54" s="137"/>
      <c r="E54" s="137"/>
      <c r="F54" s="137"/>
      <c r="G54" s="137"/>
      <c r="H54" s="138"/>
      <c r="I54" s="139"/>
      <c r="J54" s="139"/>
      <c r="L54" s="135"/>
      <c r="M54" s="135"/>
      <c r="N54" s="135"/>
      <c r="O54" s="135"/>
      <c r="P54" s="130"/>
      <c r="Q54" s="127"/>
      <c r="R54" s="127"/>
      <c r="S54" s="127"/>
    </row>
    <row r="55" spans="1:19" s="163" customFormat="1" ht="12" customHeight="1">
      <c r="A55" s="136"/>
      <c r="B55" s="132"/>
      <c r="C55" s="137"/>
      <c r="D55" s="137"/>
      <c r="E55" s="137"/>
      <c r="F55" s="137"/>
      <c r="G55" s="137"/>
      <c r="H55" s="138"/>
      <c r="I55" s="139"/>
      <c r="J55" s="139"/>
      <c r="L55" s="135"/>
      <c r="M55" s="135"/>
      <c r="N55" s="135"/>
      <c r="O55" s="135"/>
      <c r="P55" s="130"/>
      <c r="Q55" s="127"/>
      <c r="R55" s="127"/>
      <c r="S55" s="127"/>
    </row>
    <row r="56" spans="1:19" s="163" customFormat="1" ht="12" customHeight="1">
      <c r="A56" s="136"/>
      <c r="B56" s="132"/>
      <c r="C56" s="137"/>
      <c r="D56" s="137"/>
      <c r="E56" s="137"/>
      <c r="F56" s="137"/>
      <c r="G56" s="137"/>
      <c r="H56" s="138"/>
      <c r="I56" s="139"/>
      <c r="J56" s="139"/>
      <c r="L56" s="135"/>
      <c r="M56" s="135"/>
      <c r="N56" s="135"/>
      <c r="O56" s="135"/>
      <c r="P56" s="130"/>
      <c r="Q56" s="127"/>
      <c r="R56" s="127"/>
      <c r="S56" s="127"/>
    </row>
    <row r="57" spans="1:19" s="163" customFormat="1" ht="12" customHeight="1">
      <c r="A57" s="136"/>
      <c r="B57" s="132"/>
      <c r="C57" s="137"/>
      <c r="D57" s="137"/>
      <c r="E57" s="137"/>
      <c r="F57" s="137"/>
      <c r="G57" s="137"/>
      <c r="H57" s="138"/>
      <c r="I57" s="139"/>
      <c r="J57" s="139"/>
      <c r="L57" s="135"/>
      <c r="M57" s="135"/>
      <c r="N57" s="135"/>
      <c r="O57" s="135"/>
      <c r="P57" s="130"/>
      <c r="Q57" s="127"/>
      <c r="R57" s="127"/>
      <c r="S57" s="127"/>
    </row>
    <row r="58" spans="1:19" s="163" customFormat="1" ht="12" customHeight="1">
      <c r="A58" s="136"/>
      <c r="B58" s="132"/>
      <c r="C58" s="137"/>
      <c r="D58" s="137"/>
      <c r="E58" s="137"/>
      <c r="F58" s="137"/>
      <c r="G58" s="137"/>
      <c r="H58" s="138"/>
      <c r="I58" s="139"/>
      <c r="J58" s="139"/>
      <c r="L58" s="135"/>
      <c r="M58" s="135"/>
      <c r="N58" s="135"/>
      <c r="O58" s="135"/>
      <c r="P58" s="130"/>
      <c r="Q58" s="127"/>
      <c r="R58" s="127"/>
      <c r="S58" s="127"/>
    </row>
    <row r="59" spans="1:19" s="163" customFormat="1" ht="12" customHeight="1">
      <c r="A59" s="136"/>
      <c r="B59" s="132"/>
      <c r="C59" s="137"/>
      <c r="D59" s="137"/>
      <c r="E59" s="137"/>
      <c r="F59" s="137"/>
      <c r="G59" s="137"/>
      <c r="H59" s="138"/>
      <c r="I59" s="139"/>
      <c r="J59" s="139"/>
      <c r="L59" s="135"/>
      <c r="M59" s="135"/>
      <c r="N59" s="135"/>
      <c r="O59" s="135"/>
      <c r="P59" s="130"/>
      <c r="Q59" s="127"/>
      <c r="R59" s="127"/>
      <c r="S59" s="127"/>
    </row>
    <row r="60" spans="1:19" s="163" customFormat="1" ht="12" customHeight="1">
      <c r="A60" s="136"/>
      <c r="B60" s="132"/>
      <c r="C60" s="137"/>
      <c r="D60" s="137"/>
      <c r="E60" s="137"/>
      <c r="F60" s="137"/>
      <c r="G60" s="137"/>
      <c r="H60" s="138"/>
      <c r="I60" s="139"/>
      <c r="J60" s="139"/>
      <c r="L60" s="135"/>
      <c r="M60" s="135"/>
      <c r="N60" s="135"/>
      <c r="O60" s="135"/>
      <c r="P60" s="130"/>
      <c r="Q60" s="127"/>
      <c r="R60" s="127"/>
      <c r="S60" s="127"/>
    </row>
    <row r="61" spans="1:19" s="163" customFormat="1" ht="12" customHeight="1">
      <c r="A61" s="136"/>
      <c r="B61" s="132"/>
      <c r="C61" s="137"/>
      <c r="D61" s="137"/>
      <c r="E61" s="137"/>
      <c r="F61" s="137"/>
      <c r="G61" s="137"/>
      <c r="H61" s="138"/>
      <c r="I61" s="139"/>
      <c r="J61" s="139"/>
      <c r="L61" s="135"/>
      <c r="M61" s="135"/>
      <c r="N61" s="135"/>
      <c r="O61" s="135"/>
      <c r="P61" s="130"/>
      <c r="Q61" s="127"/>
      <c r="R61" s="127"/>
      <c r="S61" s="127"/>
    </row>
    <row r="62" spans="1:19" s="163" customFormat="1" ht="12" customHeight="1">
      <c r="A62" s="136"/>
      <c r="B62" s="132"/>
      <c r="C62" s="137"/>
      <c r="D62" s="137"/>
      <c r="E62" s="137"/>
      <c r="F62" s="137"/>
      <c r="G62" s="137"/>
      <c r="H62" s="138"/>
      <c r="I62" s="139"/>
      <c r="J62" s="139"/>
      <c r="L62" s="135"/>
      <c r="M62" s="135"/>
      <c r="N62" s="135"/>
      <c r="O62" s="135"/>
      <c r="P62" s="130"/>
      <c r="Q62" s="127"/>
      <c r="R62" s="127"/>
      <c r="S62" s="127"/>
    </row>
    <row r="63" spans="1:19" s="163" customFormat="1" ht="12" customHeight="1">
      <c r="A63" s="136"/>
      <c r="B63" s="132"/>
      <c r="C63" s="137"/>
      <c r="D63" s="137"/>
      <c r="E63" s="137"/>
      <c r="F63" s="137"/>
      <c r="G63" s="137"/>
      <c r="H63" s="138"/>
      <c r="I63" s="139"/>
      <c r="J63" s="139"/>
      <c r="L63" s="135"/>
      <c r="M63" s="135"/>
      <c r="N63" s="135"/>
      <c r="O63" s="135"/>
      <c r="P63" s="130"/>
      <c r="Q63" s="127"/>
      <c r="R63" s="127"/>
      <c r="S63" s="127"/>
    </row>
    <row r="64" spans="1:19" s="163" customFormat="1" ht="12" customHeight="1">
      <c r="A64" s="136"/>
      <c r="B64" s="132"/>
      <c r="C64" s="137"/>
      <c r="D64" s="137"/>
      <c r="E64" s="137"/>
      <c r="F64" s="137"/>
      <c r="G64" s="137"/>
      <c r="H64" s="138"/>
      <c r="I64" s="139"/>
      <c r="J64" s="139"/>
      <c r="L64" s="135"/>
      <c r="M64" s="135"/>
      <c r="N64" s="135"/>
      <c r="O64" s="135"/>
      <c r="P64" s="130"/>
      <c r="Q64" s="127"/>
      <c r="R64" s="127"/>
      <c r="S64" s="127"/>
    </row>
    <row r="65" spans="1:19" s="163" customFormat="1" ht="12" customHeight="1">
      <c r="A65" s="136"/>
      <c r="B65" s="132"/>
      <c r="C65" s="137"/>
      <c r="D65" s="137"/>
      <c r="E65" s="137"/>
      <c r="F65" s="137"/>
      <c r="G65" s="137"/>
      <c r="H65" s="138"/>
      <c r="I65" s="139"/>
      <c r="J65" s="139"/>
      <c r="L65" s="135"/>
      <c r="M65" s="135"/>
      <c r="N65" s="135"/>
      <c r="O65" s="135"/>
      <c r="P65" s="130"/>
      <c r="Q65" s="127"/>
      <c r="R65" s="127"/>
      <c r="S65" s="127"/>
    </row>
    <row r="66" spans="1:19" s="163" customFormat="1" ht="12" customHeight="1">
      <c r="A66" s="136"/>
      <c r="B66" s="132"/>
      <c r="C66" s="137"/>
      <c r="D66" s="137"/>
      <c r="E66" s="137"/>
      <c r="F66" s="137"/>
      <c r="G66" s="137"/>
      <c r="H66" s="138"/>
      <c r="I66" s="139"/>
      <c r="J66" s="139"/>
      <c r="L66" s="135"/>
      <c r="M66" s="135"/>
      <c r="N66" s="135"/>
      <c r="O66" s="135"/>
      <c r="P66" s="130"/>
      <c r="Q66" s="127"/>
      <c r="R66" s="127"/>
      <c r="S66" s="127"/>
    </row>
    <row r="67" spans="1:19" s="163" customFormat="1" ht="12" customHeight="1">
      <c r="A67" s="136"/>
      <c r="B67" s="132"/>
      <c r="C67" s="137"/>
      <c r="D67" s="137"/>
      <c r="E67" s="137"/>
      <c r="F67" s="137"/>
      <c r="G67" s="137"/>
      <c r="H67" s="138"/>
      <c r="I67" s="139"/>
      <c r="J67" s="139"/>
      <c r="L67" s="135"/>
      <c r="M67" s="135"/>
      <c r="N67" s="135"/>
      <c r="O67" s="135"/>
      <c r="P67" s="130"/>
      <c r="Q67" s="127"/>
      <c r="R67" s="127"/>
      <c r="S67" s="127"/>
    </row>
    <row r="68" spans="1:19" s="163" customFormat="1" ht="12" customHeight="1">
      <c r="A68" s="136"/>
      <c r="B68" s="132"/>
      <c r="C68" s="137"/>
      <c r="D68" s="137"/>
      <c r="E68" s="137"/>
      <c r="F68" s="137"/>
      <c r="G68" s="137"/>
      <c r="H68" s="138"/>
      <c r="I68" s="139"/>
      <c r="J68" s="139"/>
      <c r="L68" s="135"/>
      <c r="M68" s="135"/>
      <c r="N68" s="135"/>
      <c r="O68" s="135"/>
      <c r="P68" s="130"/>
      <c r="Q68" s="127"/>
      <c r="R68" s="127"/>
      <c r="S68" s="127"/>
    </row>
    <row r="69" spans="1:19" s="163" customFormat="1" ht="12" customHeight="1">
      <c r="A69" s="136"/>
      <c r="B69" s="132"/>
      <c r="C69" s="137"/>
      <c r="D69" s="137"/>
      <c r="E69" s="137"/>
      <c r="F69" s="137"/>
      <c r="G69" s="137"/>
      <c r="H69" s="138"/>
      <c r="I69" s="139"/>
      <c r="J69" s="139"/>
      <c r="L69" s="135"/>
      <c r="M69" s="135"/>
      <c r="N69" s="135"/>
      <c r="O69" s="135"/>
      <c r="P69" s="130"/>
      <c r="Q69" s="127"/>
      <c r="R69" s="127"/>
      <c r="S69" s="127"/>
    </row>
    <row r="70" spans="1:19" s="163" customFormat="1" ht="12" customHeight="1">
      <c r="A70" s="136"/>
      <c r="B70" s="132"/>
      <c r="C70" s="137"/>
      <c r="D70" s="137"/>
      <c r="E70" s="137"/>
      <c r="F70" s="137"/>
      <c r="G70" s="137"/>
      <c r="H70" s="138"/>
      <c r="I70" s="139"/>
      <c r="J70" s="139"/>
      <c r="L70" s="135"/>
      <c r="M70" s="135"/>
      <c r="N70" s="135"/>
      <c r="O70" s="135"/>
      <c r="P70" s="130"/>
      <c r="Q70" s="127"/>
      <c r="R70" s="127"/>
      <c r="S70" s="127"/>
    </row>
    <row r="71" spans="1:19" s="163" customFormat="1" ht="12" customHeight="1">
      <c r="A71" s="136"/>
      <c r="B71" s="132"/>
      <c r="C71" s="137"/>
      <c r="D71" s="137"/>
      <c r="E71" s="137"/>
      <c r="F71" s="137"/>
      <c r="G71" s="137"/>
      <c r="H71" s="138"/>
      <c r="I71" s="139"/>
      <c r="J71" s="139"/>
      <c r="L71" s="135"/>
      <c r="M71" s="135"/>
      <c r="N71" s="135"/>
      <c r="O71" s="135"/>
      <c r="P71" s="130"/>
      <c r="Q71" s="127"/>
      <c r="R71" s="127"/>
      <c r="S71" s="127"/>
    </row>
    <row r="72" spans="1:19" s="163" customFormat="1" ht="12" customHeight="1">
      <c r="A72" s="136"/>
      <c r="B72" s="132"/>
      <c r="C72" s="137"/>
      <c r="D72" s="137"/>
      <c r="E72" s="137"/>
      <c r="F72" s="137"/>
      <c r="G72" s="137"/>
      <c r="H72" s="138"/>
      <c r="I72" s="139"/>
      <c r="J72" s="139"/>
      <c r="L72" s="135"/>
      <c r="M72" s="135"/>
      <c r="N72" s="135"/>
      <c r="O72" s="135"/>
      <c r="P72" s="130"/>
      <c r="Q72" s="127"/>
      <c r="R72" s="127"/>
      <c r="S72" s="127"/>
    </row>
    <row r="73" spans="1:19" s="163" customFormat="1" ht="12" customHeight="1">
      <c r="A73" s="136"/>
      <c r="B73" s="132"/>
      <c r="C73" s="137"/>
      <c r="D73" s="137"/>
      <c r="E73" s="137"/>
      <c r="F73" s="137"/>
      <c r="G73" s="137"/>
      <c r="H73" s="138"/>
      <c r="I73" s="139"/>
      <c r="J73" s="139"/>
      <c r="L73" s="135"/>
      <c r="M73" s="135"/>
      <c r="N73" s="135"/>
      <c r="O73" s="135"/>
      <c r="P73" s="130"/>
      <c r="Q73" s="127"/>
      <c r="R73" s="127"/>
      <c r="S73" s="127"/>
    </row>
    <row r="74" spans="1:19" s="163" customFormat="1" ht="12" customHeight="1">
      <c r="A74" s="136"/>
      <c r="B74" s="132"/>
      <c r="C74" s="137"/>
      <c r="D74" s="137"/>
      <c r="E74" s="137"/>
      <c r="F74" s="137"/>
      <c r="G74" s="137"/>
      <c r="H74" s="138"/>
      <c r="I74" s="139"/>
      <c r="J74" s="139"/>
      <c r="L74" s="135"/>
      <c r="M74" s="135"/>
      <c r="N74" s="135"/>
      <c r="O74" s="135"/>
      <c r="P74" s="130"/>
      <c r="Q74" s="127"/>
      <c r="R74" s="127"/>
      <c r="S74" s="127"/>
    </row>
    <row r="75" spans="1:19" s="163" customFormat="1" ht="12" customHeight="1">
      <c r="A75" s="136"/>
      <c r="B75" s="132"/>
      <c r="C75" s="137"/>
      <c r="D75" s="137"/>
      <c r="E75" s="137"/>
      <c r="F75" s="137"/>
      <c r="G75" s="137"/>
      <c r="H75" s="138"/>
      <c r="I75" s="139"/>
      <c r="J75" s="139"/>
      <c r="L75" s="135"/>
      <c r="M75" s="135"/>
      <c r="N75" s="135"/>
      <c r="O75" s="135"/>
      <c r="P75" s="130"/>
      <c r="Q75" s="127"/>
      <c r="R75" s="127"/>
      <c r="S75" s="127"/>
    </row>
    <row r="76" spans="1:19" s="163" customFormat="1" ht="12" customHeight="1">
      <c r="A76" s="136"/>
      <c r="B76" s="132"/>
      <c r="C76" s="137"/>
      <c r="D76" s="137"/>
      <c r="E76" s="137"/>
      <c r="F76" s="137"/>
      <c r="G76" s="137"/>
      <c r="H76" s="138"/>
      <c r="I76" s="139"/>
      <c r="J76" s="139"/>
      <c r="L76" s="135"/>
      <c r="M76" s="135"/>
      <c r="N76" s="135"/>
      <c r="O76" s="135"/>
      <c r="P76" s="130"/>
      <c r="Q76" s="127"/>
      <c r="R76" s="127"/>
      <c r="S76" s="127"/>
    </row>
    <row r="77" spans="1:19" s="163" customFormat="1" ht="12" customHeight="1">
      <c r="A77" s="136"/>
      <c r="B77" s="132"/>
      <c r="C77" s="137"/>
      <c r="D77" s="137"/>
      <c r="E77" s="137"/>
      <c r="F77" s="137"/>
      <c r="G77" s="137"/>
      <c r="H77" s="138"/>
      <c r="I77" s="139"/>
      <c r="J77" s="139"/>
      <c r="L77" s="135"/>
      <c r="M77" s="135"/>
      <c r="N77" s="135"/>
      <c r="O77" s="135"/>
      <c r="P77" s="130"/>
      <c r="Q77" s="127"/>
      <c r="R77" s="127"/>
      <c r="S77" s="127"/>
    </row>
    <row r="78" spans="1:19" s="163" customFormat="1" ht="12" customHeight="1">
      <c r="A78" s="136"/>
      <c r="B78" s="132"/>
      <c r="C78" s="137"/>
      <c r="D78" s="137"/>
      <c r="E78" s="137"/>
      <c r="F78" s="137"/>
      <c r="G78" s="137"/>
      <c r="H78" s="138"/>
      <c r="I78" s="139"/>
      <c r="J78" s="139"/>
      <c r="L78" s="135"/>
      <c r="M78" s="135"/>
      <c r="N78" s="135"/>
      <c r="O78" s="135"/>
      <c r="P78" s="130"/>
      <c r="Q78" s="127"/>
      <c r="R78" s="127"/>
      <c r="S78" s="127"/>
    </row>
    <row r="79" spans="1:19" s="163" customFormat="1" ht="12" customHeight="1">
      <c r="A79" s="136"/>
      <c r="B79" s="132"/>
      <c r="C79" s="137"/>
      <c r="D79" s="137"/>
      <c r="E79" s="137"/>
      <c r="F79" s="137"/>
      <c r="G79" s="137"/>
      <c r="H79" s="138"/>
      <c r="I79" s="139"/>
      <c r="J79" s="139"/>
      <c r="L79" s="135"/>
      <c r="M79" s="135"/>
      <c r="N79" s="135"/>
      <c r="O79" s="135"/>
      <c r="P79" s="130"/>
      <c r="Q79" s="127"/>
      <c r="R79" s="127"/>
      <c r="S79" s="127"/>
    </row>
    <row r="80" spans="1:19" s="163" customFormat="1" ht="12" customHeight="1">
      <c r="A80" s="136"/>
      <c r="B80" s="132"/>
      <c r="C80" s="137"/>
      <c r="D80" s="137"/>
      <c r="E80" s="137"/>
      <c r="F80" s="137"/>
      <c r="G80" s="137"/>
      <c r="H80" s="138"/>
      <c r="I80" s="139"/>
      <c r="J80" s="139"/>
      <c r="L80" s="135"/>
      <c r="M80" s="135"/>
      <c r="N80" s="135"/>
      <c r="O80" s="135"/>
      <c r="P80" s="130"/>
      <c r="Q80" s="127"/>
      <c r="R80" s="127"/>
      <c r="S80" s="127"/>
    </row>
    <row r="81" spans="1:19" s="163" customFormat="1" ht="12" customHeight="1">
      <c r="A81" s="136"/>
      <c r="B81" s="132"/>
      <c r="C81" s="137"/>
      <c r="D81" s="137"/>
      <c r="E81" s="137"/>
      <c r="F81" s="137"/>
      <c r="G81" s="137"/>
      <c r="H81" s="138"/>
      <c r="I81" s="139"/>
      <c r="J81" s="139"/>
      <c r="L81" s="135"/>
      <c r="M81" s="135"/>
      <c r="N81" s="135"/>
      <c r="O81" s="135"/>
      <c r="P81" s="130"/>
      <c r="Q81" s="127"/>
      <c r="R81" s="127"/>
      <c r="S81" s="127"/>
    </row>
    <row r="82" spans="1:19" s="163" customFormat="1" ht="12" customHeight="1">
      <c r="A82" s="136"/>
      <c r="B82" s="132"/>
      <c r="C82" s="137"/>
      <c r="D82" s="137"/>
      <c r="E82" s="137"/>
      <c r="F82" s="137"/>
      <c r="G82" s="137"/>
      <c r="H82" s="138"/>
      <c r="I82" s="139"/>
      <c r="J82" s="139"/>
      <c r="L82" s="135"/>
      <c r="M82" s="135"/>
      <c r="N82" s="135"/>
      <c r="O82" s="135"/>
      <c r="P82" s="130"/>
      <c r="Q82" s="127"/>
      <c r="R82" s="127"/>
      <c r="S82" s="127"/>
    </row>
    <row r="83" spans="1:19" s="163" customFormat="1" ht="12" customHeight="1">
      <c r="A83" s="136"/>
      <c r="B83" s="132"/>
      <c r="C83" s="137"/>
      <c r="D83" s="137"/>
      <c r="E83" s="137"/>
      <c r="F83" s="137"/>
      <c r="G83" s="137"/>
      <c r="H83" s="138"/>
      <c r="I83" s="139"/>
      <c r="J83" s="139"/>
      <c r="L83" s="135"/>
      <c r="M83" s="135"/>
      <c r="N83" s="135"/>
      <c r="O83" s="135"/>
      <c r="P83" s="130"/>
      <c r="Q83" s="127"/>
      <c r="R83" s="127"/>
      <c r="S83" s="127"/>
    </row>
    <row r="84" spans="1:19" s="163" customFormat="1" ht="12" customHeight="1">
      <c r="A84" s="136"/>
      <c r="B84" s="132"/>
      <c r="C84" s="137"/>
      <c r="D84" s="137"/>
      <c r="E84" s="137"/>
      <c r="F84" s="137"/>
      <c r="G84" s="137"/>
      <c r="H84" s="138"/>
      <c r="I84" s="139"/>
      <c r="J84" s="139"/>
      <c r="L84" s="135"/>
      <c r="M84" s="135"/>
      <c r="N84" s="135"/>
      <c r="O84" s="135"/>
      <c r="P84" s="130"/>
      <c r="Q84" s="127"/>
      <c r="R84" s="127"/>
      <c r="S84" s="127"/>
    </row>
    <row r="85" spans="1:19" s="163" customFormat="1" ht="12" customHeight="1">
      <c r="A85" s="136"/>
      <c r="B85" s="132"/>
      <c r="C85" s="137"/>
      <c r="D85" s="137"/>
      <c r="E85" s="137"/>
      <c r="F85" s="137"/>
      <c r="G85" s="137"/>
      <c r="H85" s="138"/>
      <c r="I85" s="139"/>
      <c r="J85" s="139"/>
      <c r="L85" s="135"/>
      <c r="M85" s="135"/>
      <c r="N85" s="135"/>
      <c r="O85" s="135"/>
      <c r="P85" s="130"/>
      <c r="Q85" s="127"/>
      <c r="R85" s="127"/>
      <c r="S85" s="127"/>
    </row>
    <row r="86" spans="1:19" s="163" customFormat="1" ht="12" customHeight="1">
      <c r="A86" s="136"/>
      <c r="B86" s="132"/>
      <c r="C86" s="137"/>
      <c r="D86" s="137"/>
      <c r="E86" s="137"/>
      <c r="F86" s="137"/>
      <c r="G86" s="137"/>
      <c r="H86" s="138"/>
      <c r="I86" s="139"/>
      <c r="J86" s="139"/>
      <c r="L86" s="135"/>
      <c r="M86" s="135"/>
      <c r="N86" s="135"/>
      <c r="O86" s="135"/>
      <c r="P86" s="130"/>
      <c r="Q86" s="127"/>
      <c r="R86" s="127"/>
      <c r="S86" s="127"/>
    </row>
    <row r="87" spans="1:19" s="163" customFormat="1" ht="12" customHeight="1">
      <c r="A87" s="136"/>
      <c r="B87" s="132"/>
      <c r="C87" s="137"/>
      <c r="D87" s="137"/>
      <c r="E87" s="137"/>
      <c r="F87" s="137"/>
      <c r="G87" s="137"/>
      <c r="H87" s="138"/>
      <c r="I87" s="139"/>
      <c r="J87" s="139"/>
      <c r="L87" s="135"/>
      <c r="M87" s="135"/>
      <c r="N87" s="135"/>
      <c r="O87" s="135"/>
      <c r="P87" s="130"/>
      <c r="Q87" s="127"/>
      <c r="R87" s="127"/>
      <c r="S87" s="127"/>
    </row>
    <row r="88" spans="1:19" s="163" customFormat="1" ht="12" customHeight="1">
      <c r="A88" s="136"/>
      <c r="B88" s="132"/>
      <c r="C88" s="137"/>
      <c r="D88" s="137"/>
      <c r="E88" s="137"/>
      <c r="F88" s="137"/>
      <c r="G88" s="137"/>
      <c r="H88" s="138"/>
      <c r="I88" s="139"/>
      <c r="J88" s="139"/>
      <c r="L88" s="135"/>
      <c r="M88" s="135"/>
      <c r="N88" s="135"/>
      <c r="O88" s="135"/>
      <c r="P88" s="130"/>
      <c r="Q88" s="127"/>
      <c r="R88" s="127"/>
      <c r="S88" s="127"/>
    </row>
    <row r="89" spans="1:19" s="163" customFormat="1" ht="12" customHeight="1">
      <c r="A89" s="136"/>
      <c r="B89" s="132"/>
      <c r="C89" s="137"/>
      <c r="D89" s="137"/>
      <c r="E89" s="137"/>
      <c r="F89" s="137"/>
      <c r="G89" s="137"/>
      <c r="H89" s="138"/>
      <c r="I89" s="139"/>
      <c r="J89" s="139"/>
      <c r="L89" s="135"/>
      <c r="M89" s="135"/>
      <c r="N89" s="135"/>
      <c r="O89" s="135"/>
      <c r="P89" s="130"/>
      <c r="Q89" s="127"/>
      <c r="R89" s="127"/>
      <c r="S89" s="127"/>
    </row>
    <row r="90" spans="1:19" s="163" customFormat="1" ht="12" customHeight="1">
      <c r="A90" s="136"/>
      <c r="B90" s="132"/>
      <c r="C90" s="137"/>
      <c r="D90" s="137"/>
      <c r="E90" s="137"/>
      <c r="F90" s="137"/>
      <c r="G90" s="137"/>
      <c r="H90" s="138"/>
      <c r="I90" s="139"/>
      <c r="J90" s="139"/>
      <c r="L90" s="135"/>
      <c r="M90" s="135"/>
      <c r="N90" s="135"/>
      <c r="O90" s="135"/>
      <c r="P90" s="130"/>
      <c r="Q90" s="127"/>
      <c r="R90" s="127"/>
      <c r="S90" s="127"/>
    </row>
    <row r="91" spans="1:19" s="163" customFormat="1" ht="12" customHeight="1">
      <c r="A91" s="136"/>
      <c r="B91" s="132"/>
      <c r="C91" s="137"/>
      <c r="D91" s="137"/>
      <c r="E91" s="137"/>
      <c r="F91" s="137"/>
      <c r="G91" s="137"/>
      <c r="H91" s="138"/>
      <c r="I91" s="139"/>
      <c r="J91" s="139"/>
      <c r="L91" s="135"/>
      <c r="M91" s="135"/>
      <c r="N91" s="135"/>
      <c r="O91" s="135"/>
      <c r="P91" s="130"/>
      <c r="Q91" s="127"/>
      <c r="R91" s="127"/>
      <c r="S91" s="127"/>
    </row>
    <row r="92" spans="1:19" s="163" customFormat="1" ht="12" customHeight="1">
      <c r="A92" s="136"/>
      <c r="B92" s="132"/>
      <c r="C92" s="137"/>
      <c r="D92" s="137"/>
      <c r="E92" s="137"/>
      <c r="F92" s="137"/>
      <c r="G92" s="137"/>
      <c r="H92" s="138"/>
      <c r="I92" s="139"/>
      <c r="J92" s="139"/>
      <c r="L92" s="135"/>
      <c r="M92" s="135"/>
      <c r="N92" s="135"/>
      <c r="O92" s="135"/>
      <c r="P92" s="130"/>
      <c r="Q92" s="127"/>
      <c r="R92" s="127"/>
      <c r="S92" s="127"/>
    </row>
    <row r="93" spans="1:19" s="163" customFormat="1" ht="12" customHeight="1">
      <c r="A93" s="136"/>
      <c r="B93" s="132"/>
      <c r="C93" s="137"/>
      <c r="D93" s="137"/>
      <c r="E93" s="137"/>
      <c r="F93" s="137"/>
      <c r="G93" s="137"/>
      <c r="H93" s="138"/>
      <c r="I93" s="139"/>
      <c r="J93" s="139"/>
      <c r="L93" s="135"/>
      <c r="M93" s="135"/>
      <c r="N93" s="135"/>
      <c r="O93" s="135"/>
      <c r="P93" s="130"/>
      <c r="Q93" s="127"/>
      <c r="R93" s="127"/>
      <c r="S93" s="127"/>
    </row>
    <row r="94" spans="1:19" s="163" customFormat="1" ht="12" customHeight="1">
      <c r="A94" s="136"/>
      <c r="B94" s="132"/>
      <c r="C94" s="137"/>
      <c r="D94" s="137"/>
      <c r="E94" s="137"/>
      <c r="F94" s="137"/>
      <c r="G94" s="137"/>
      <c r="H94" s="138"/>
      <c r="I94" s="139"/>
      <c r="J94" s="139"/>
      <c r="L94" s="135"/>
      <c r="M94" s="135"/>
      <c r="N94" s="135"/>
      <c r="O94" s="135"/>
      <c r="P94" s="130"/>
      <c r="Q94" s="127"/>
      <c r="R94" s="127"/>
      <c r="S94" s="127"/>
    </row>
    <row r="95" spans="1:19" s="163" customFormat="1" ht="12" customHeight="1">
      <c r="A95" s="136"/>
      <c r="B95" s="132"/>
      <c r="C95" s="137"/>
      <c r="D95" s="137"/>
      <c r="E95" s="137"/>
      <c r="F95" s="137"/>
      <c r="G95" s="137"/>
      <c r="H95" s="138"/>
      <c r="I95" s="139"/>
      <c r="J95" s="139"/>
      <c r="L95" s="135"/>
      <c r="M95" s="135"/>
      <c r="N95" s="135"/>
      <c r="O95" s="135"/>
      <c r="P95" s="130"/>
      <c r="Q95" s="127"/>
      <c r="R95" s="127"/>
      <c r="S95" s="127"/>
    </row>
    <row r="96" spans="1:19" s="163" customFormat="1" ht="12" customHeight="1">
      <c r="A96" s="136"/>
      <c r="B96" s="132"/>
      <c r="C96" s="137"/>
      <c r="D96" s="137"/>
      <c r="E96" s="137"/>
      <c r="F96" s="137"/>
      <c r="G96" s="137"/>
      <c r="H96" s="138"/>
      <c r="I96" s="139"/>
      <c r="J96" s="139"/>
      <c r="L96" s="135"/>
      <c r="M96" s="135"/>
      <c r="N96" s="135"/>
      <c r="O96" s="135"/>
      <c r="P96" s="130"/>
      <c r="Q96" s="127"/>
      <c r="R96" s="127"/>
      <c r="S96" s="127"/>
    </row>
    <row r="97" spans="1:19" s="163" customFormat="1" ht="12" customHeight="1">
      <c r="A97" s="136"/>
      <c r="B97" s="132"/>
      <c r="C97" s="137"/>
      <c r="D97" s="137"/>
      <c r="E97" s="137"/>
      <c r="F97" s="137"/>
      <c r="G97" s="137"/>
      <c r="H97" s="138"/>
      <c r="I97" s="139"/>
      <c r="J97" s="139"/>
      <c r="L97" s="135"/>
      <c r="M97" s="135"/>
      <c r="N97" s="135"/>
      <c r="O97" s="135"/>
      <c r="P97" s="130"/>
      <c r="Q97" s="127"/>
      <c r="R97" s="127"/>
      <c r="S97" s="127"/>
    </row>
    <row r="98" spans="1:19" s="163" customFormat="1" ht="12" customHeight="1">
      <c r="A98" s="136"/>
      <c r="B98" s="132"/>
      <c r="C98" s="137"/>
      <c r="D98" s="137"/>
      <c r="E98" s="137"/>
      <c r="F98" s="137"/>
      <c r="G98" s="137"/>
      <c r="H98" s="138"/>
      <c r="I98" s="139"/>
      <c r="J98" s="139"/>
      <c r="L98" s="135"/>
      <c r="M98" s="135"/>
      <c r="N98" s="135"/>
      <c r="O98" s="135"/>
      <c r="P98" s="130"/>
      <c r="Q98" s="127"/>
      <c r="R98" s="127"/>
      <c r="S98" s="127"/>
    </row>
    <row r="99" spans="1:19" s="163" customFormat="1" ht="12" customHeight="1">
      <c r="A99" s="136"/>
      <c r="B99" s="132"/>
      <c r="C99" s="137"/>
      <c r="D99" s="137"/>
      <c r="E99" s="137"/>
      <c r="F99" s="137"/>
      <c r="G99" s="137"/>
      <c r="H99" s="138"/>
      <c r="I99" s="139"/>
      <c r="J99" s="139"/>
      <c r="L99" s="135"/>
      <c r="M99" s="135"/>
      <c r="N99" s="135"/>
      <c r="O99" s="135"/>
      <c r="P99" s="130"/>
      <c r="Q99" s="127"/>
      <c r="R99" s="127"/>
      <c r="S99" s="127"/>
    </row>
    <row r="100" spans="1:19" s="163" customFormat="1" ht="12" customHeight="1">
      <c r="A100" s="136"/>
      <c r="B100" s="132"/>
      <c r="C100" s="137"/>
      <c r="D100" s="137"/>
      <c r="E100" s="137"/>
      <c r="F100" s="137"/>
      <c r="G100" s="137"/>
      <c r="H100" s="138"/>
      <c r="I100" s="139"/>
      <c r="J100" s="139"/>
      <c r="L100" s="135"/>
      <c r="M100" s="135"/>
      <c r="N100" s="135"/>
      <c r="O100" s="135"/>
      <c r="P100" s="130"/>
      <c r="Q100" s="127"/>
      <c r="R100" s="127"/>
      <c r="S100" s="127"/>
    </row>
    <row r="101" spans="1:19" s="163" customFormat="1" ht="12" customHeight="1">
      <c r="A101" s="136"/>
      <c r="B101" s="132"/>
      <c r="C101" s="137"/>
      <c r="D101" s="137"/>
      <c r="E101" s="137"/>
      <c r="F101" s="137"/>
      <c r="G101" s="137"/>
      <c r="H101" s="138"/>
      <c r="I101" s="139"/>
      <c r="J101" s="139"/>
      <c r="L101" s="135"/>
      <c r="M101" s="135"/>
      <c r="N101" s="135"/>
      <c r="O101" s="135"/>
      <c r="P101" s="130"/>
      <c r="Q101" s="127"/>
      <c r="R101" s="127"/>
      <c r="S101" s="127"/>
    </row>
    <row r="102" spans="1:19" s="163" customFormat="1" ht="12" customHeight="1">
      <c r="A102" s="136"/>
      <c r="B102" s="132"/>
      <c r="C102" s="137"/>
      <c r="D102" s="137"/>
      <c r="E102" s="137"/>
      <c r="F102" s="137"/>
      <c r="G102" s="137"/>
      <c r="H102" s="138"/>
      <c r="I102" s="139"/>
      <c r="J102" s="139"/>
      <c r="L102" s="135"/>
      <c r="M102" s="135"/>
      <c r="N102" s="135"/>
      <c r="O102" s="135"/>
      <c r="P102" s="130"/>
      <c r="Q102" s="127"/>
      <c r="R102" s="127"/>
      <c r="S102" s="127"/>
    </row>
    <row r="103" spans="1:19" s="163" customFormat="1" ht="12" customHeight="1">
      <c r="A103" s="136"/>
      <c r="B103" s="132"/>
      <c r="C103" s="137"/>
      <c r="D103" s="137"/>
      <c r="E103" s="137"/>
      <c r="F103" s="137"/>
      <c r="G103" s="137"/>
      <c r="H103" s="138"/>
      <c r="I103" s="139"/>
      <c r="J103" s="139"/>
      <c r="L103" s="135"/>
      <c r="M103" s="135"/>
      <c r="N103" s="135"/>
      <c r="O103" s="135"/>
      <c r="P103" s="130"/>
      <c r="Q103" s="127"/>
      <c r="R103" s="127"/>
      <c r="S103" s="127"/>
    </row>
    <row r="104" spans="1:19" s="163" customFormat="1" ht="12" customHeight="1">
      <c r="A104" s="136"/>
      <c r="B104" s="132"/>
      <c r="C104" s="137"/>
      <c r="D104" s="137"/>
      <c r="E104" s="137"/>
      <c r="F104" s="137"/>
      <c r="G104" s="137"/>
      <c r="H104" s="138"/>
      <c r="I104" s="139"/>
      <c r="J104" s="139"/>
      <c r="L104" s="135"/>
      <c r="M104" s="135"/>
      <c r="N104" s="135"/>
      <c r="O104" s="135"/>
      <c r="P104" s="130"/>
      <c r="Q104" s="127"/>
      <c r="R104" s="127"/>
      <c r="S104" s="127"/>
    </row>
    <row r="105" spans="1:19" s="163" customFormat="1" ht="12" customHeight="1">
      <c r="A105" s="136"/>
      <c r="B105" s="132"/>
      <c r="C105" s="137"/>
      <c r="D105" s="137"/>
      <c r="E105" s="137"/>
      <c r="F105" s="137"/>
      <c r="G105" s="137"/>
      <c r="H105" s="138"/>
      <c r="I105" s="139"/>
      <c r="J105" s="139"/>
      <c r="L105" s="135"/>
      <c r="M105" s="135"/>
      <c r="N105" s="135"/>
      <c r="O105" s="135"/>
      <c r="P105" s="130"/>
      <c r="Q105" s="127"/>
      <c r="R105" s="127"/>
      <c r="S105" s="127"/>
    </row>
    <row r="106" spans="1:19" s="163" customFormat="1" ht="12" customHeight="1">
      <c r="A106" s="136"/>
      <c r="B106" s="132"/>
      <c r="C106" s="137"/>
      <c r="D106" s="137"/>
      <c r="E106" s="137"/>
      <c r="F106" s="137"/>
      <c r="G106" s="137"/>
      <c r="H106" s="138"/>
      <c r="I106" s="139"/>
      <c r="J106" s="139"/>
      <c r="L106" s="135"/>
      <c r="M106" s="135"/>
      <c r="N106" s="135"/>
      <c r="O106" s="135"/>
      <c r="P106" s="130"/>
      <c r="Q106" s="127"/>
      <c r="R106" s="127"/>
      <c r="S106" s="127"/>
    </row>
    <row r="107" spans="1:19" s="163" customFormat="1" ht="12" customHeight="1">
      <c r="A107" s="136"/>
      <c r="B107" s="132"/>
      <c r="C107" s="137"/>
      <c r="D107" s="137"/>
      <c r="E107" s="137"/>
      <c r="F107" s="137"/>
      <c r="G107" s="137"/>
      <c r="H107" s="138"/>
      <c r="I107" s="139"/>
      <c r="J107" s="139"/>
      <c r="L107" s="135"/>
      <c r="M107" s="135"/>
      <c r="N107" s="135"/>
      <c r="O107" s="135"/>
      <c r="P107" s="130"/>
      <c r="Q107" s="127"/>
      <c r="R107" s="127"/>
      <c r="S107" s="127"/>
    </row>
    <row r="108" spans="1:19" s="163" customFormat="1" ht="12" customHeight="1">
      <c r="A108" s="136"/>
      <c r="B108" s="132"/>
      <c r="C108" s="137"/>
      <c r="D108" s="137"/>
      <c r="E108" s="137"/>
      <c r="F108" s="137"/>
      <c r="G108" s="137"/>
      <c r="H108" s="138"/>
      <c r="I108" s="139"/>
      <c r="J108" s="139"/>
      <c r="L108" s="135"/>
      <c r="M108" s="135"/>
      <c r="N108" s="135"/>
      <c r="O108" s="135"/>
      <c r="P108" s="130"/>
      <c r="Q108" s="127"/>
      <c r="R108" s="127"/>
      <c r="S108" s="127"/>
    </row>
    <row r="109" spans="1:19" s="163" customFormat="1" ht="12" customHeight="1">
      <c r="A109" s="136"/>
      <c r="B109" s="132"/>
      <c r="C109" s="137"/>
      <c r="D109" s="137"/>
      <c r="E109" s="137"/>
      <c r="F109" s="137"/>
      <c r="G109" s="137"/>
      <c r="H109" s="138"/>
      <c r="I109" s="139"/>
      <c r="J109" s="139"/>
      <c r="L109" s="135"/>
      <c r="M109" s="135"/>
      <c r="N109" s="135"/>
      <c r="O109" s="135"/>
      <c r="P109" s="130"/>
      <c r="Q109" s="127"/>
      <c r="R109" s="127"/>
      <c r="S109" s="127"/>
    </row>
    <row r="110" spans="1:19" s="163" customFormat="1" ht="12" customHeight="1">
      <c r="A110" s="136"/>
      <c r="B110" s="132"/>
      <c r="C110" s="137"/>
      <c r="D110" s="137"/>
      <c r="E110" s="137"/>
      <c r="F110" s="137"/>
      <c r="G110" s="137"/>
      <c r="H110" s="138"/>
      <c r="I110" s="139"/>
      <c r="J110" s="139"/>
      <c r="L110" s="135"/>
      <c r="M110" s="135"/>
      <c r="N110" s="135"/>
      <c r="O110" s="135"/>
      <c r="P110" s="130"/>
      <c r="Q110" s="127"/>
      <c r="R110" s="127"/>
      <c r="S110" s="127"/>
    </row>
    <row r="111" spans="1:19" s="163" customFormat="1" ht="12" customHeight="1">
      <c r="A111" s="136"/>
      <c r="B111" s="132"/>
      <c r="C111" s="137"/>
      <c r="D111" s="137"/>
      <c r="E111" s="137"/>
      <c r="F111" s="137"/>
      <c r="G111" s="137"/>
      <c r="H111" s="138"/>
      <c r="I111" s="139"/>
      <c r="J111" s="139"/>
      <c r="L111" s="135"/>
      <c r="M111" s="135"/>
      <c r="N111" s="135"/>
      <c r="O111" s="135"/>
      <c r="P111" s="130"/>
      <c r="Q111" s="127"/>
      <c r="R111" s="127"/>
      <c r="S111" s="127"/>
    </row>
    <row r="112" spans="1:19" s="163" customFormat="1" ht="12" customHeight="1">
      <c r="A112" s="136"/>
      <c r="B112" s="132"/>
      <c r="C112" s="137"/>
      <c r="D112" s="137"/>
      <c r="E112" s="137"/>
      <c r="F112" s="137"/>
      <c r="G112" s="137"/>
      <c r="H112" s="138"/>
      <c r="I112" s="139"/>
      <c r="J112" s="139"/>
      <c r="L112" s="135"/>
      <c r="M112" s="135"/>
      <c r="N112" s="135"/>
      <c r="O112" s="135"/>
      <c r="P112" s="130"/>
      <c r="Q112" s="127"/>
      <c r="R112" s="127"/>
      <c r="S112" s="127"/>
    </row>
    <row r="113" spans="1:19" s="163" customFormat="1" ht="12" customHeight="1">
      <c r="A113" s="136"/>
      <c r="B113" s="132"/>
      <c r="C113" s="137"/>
      <c r="D113" s="137"/>
      <c r="E113" s="137"/>
      <c r="F113" s="137"/>
      <c r="G113" s="137"/>
      <c r="H113" s="138"/>
      <c r="I113" s="139"/>
      <c r="J113" s="139"/>
      <c r="L113" s="135"/>
      <c r="M113" s="135"/>
      <c r="N113" s="135"/>
      <c r="O113" s="135"/>
      <c r="P113" s="130"/>
      <c r="Q113" s="127"/>
      <c r="R113" s="127"/>
      <c r="S113" s="127"/>
    </row>
    <row r="114" spans="1:19" s="163" customFormat="1" ht="12" customHeight="1">
      <c r="A114" s="136"/>
      <c r="B114" s="132"/>
      <c r="C114" s="137"/>
      <c r="D114" s="137"/>
      <c r="E114" s="137"/>
      <c r="F114" s="137"/>
      <c r="G114" s="137"/>
      <c r="H114" s="138"/>
      <c r="I114" s="139"/>
      <c r="J114" s="139"/>
      <c r="L114" s="135"/>
      <c r="M114" s="135"/>
      <c r="N114" s="135"/>
      <c r="O114" s="135"/>
      <c r="P114" s="130"/>
      <c r="Q114" s="127"/>
      <c r="R114" s="127"/>
      <c r="S114" s="127"/>
    </row>
    <row r="115" spans="1:19" s="163" customFormat="1" ht="12" customHeight="1">
      <c r="A115" s="136"/>
      <c r="B115" s="132"/>
      <c r="C115" s="137"/>
      <c r="D115" s="137"/>
      <c r="E115" s="137"/>
      <c r="F115" s="137"/>
      <c r="G115" s="137"/>
      <c r="H115" s="138"/>
      <c r="I115" s="139"/>
      <c r="J115" s="139"/>
      <c r="L115" s="135"/>
      <c r="M115" s="135"/>
      <c r="N115" s="135"/>
      <c r="O115" s="135"/>
      <c r="P115" s="130"/>
      <c r="Q115" s="127"/>
      <c r="R115" s="127"/>
      <c r="S115" s="127"/>
    </row>
    <row r="116" spans="1:19" s="163" customFormat="1" ht="12" customHeight="1">
      <c r="A116" s="136"/>
      <c r="B116" s="132"/>
      <c r="C116" s="137"/>
      <c r="D116" s="137"/>
      <c r="E116" s="137"/>
      <c r="F116" s="137"/>
      <c r="G116" s="137"/>
      <c r="H116" s="138"/>
      <c r="I116" s="139"/>
      <c r="J116" s="139"/>
      <c r="L116" s="135"/>
      <c r="M116" s="135"/>
      <c r="N116" s="135"/>
      <c r="O116" s="135"/>
      <c r="P116" s="130"/>
      <c r="Q116" s="127"/>
      <c r="R116" s="127"/>
      <c r="S116" s="127"/>
    </row>
    <row r="117" spans="1:19" s="163" customFormat="1" ht="12" customHeight="1">
      <c r="A117" s="136"/>
      <c r="B117" s="132"/>
      <c r="C117" s="137"/>
      <c r="D117" s="137"/>
      <c r="E117" s="137"/>
      <c r="F117" s="137"/>
      <c r="G117" s="137"/>
      <c r="H117" s="138"/>
      <c r="I117" s="139"/>
      <c r="J117" s="139"/>
      <c r="L117" s="135"/>
      <c r="M117" s="135"/>
      <c r="N117" s="135"/>
      <c r="O117" s="135"/>
      <c r="P117" s="130"/>
      <c r="Q117" s="127"/>
      <c r="R117" s="127"/>
      <c r="S117" s="127"/>
    </row>
    <row r="118" spans="1:19" s="163" customFormat="1" ht="12" customHeight="1">
      <c r="A118" s="136"/>
      <c r="B118" s="132"/>
      <c r="C118" s="137"/>
      <c r="D118" s="137"/>
      <c r="E118" s="137"/>
      <c r="F118" s="137"/>
      <c r="G118" s="137"/>
      <c r="H118" s="138"/>
      <c r="I118" s="139"/>
      <c r="J118" s="139"/>
      <c r="L118" s="135"/>
      <c r="M118" s="135"/>
      <c r="N118" s="135"/>
      <c r="O118" s="135"/>
      <c r="P118" s="130"/>
      <c r="Q118" s="127"/>
      <c r="R118" s="127"/>
      <c r="S118" s="127"/>
    </row>
    <row r="119" spans="1:19" s="163" customFormat="1" ht="12" customHeight="1">
      <c r="A119" s="136"/>
      <c r="B119" s="132"/>
      <c r="C119" s="137"/>
      <c r="D119" s="137"/>
      <c r="E119" s="137"/>
      <c r="F119" s="137"/>
      <c r="G119" s="137"/>
      <c r="H119" s="138"/>
      <c r="I119" s="139"/>
      <c r="J119" s="139"/>
      <c r="L119" s="135"/>
      <c r="M119" s="135"/>
      <c r="N119" s="135"/>
      <c r="O119" s="135"/>
      <c r="P119" s="130"/>
      <c r="Q119" s="127"/>
      <c r="R119" s="127"/>
      <c r="S119" s="127"/>
    </row>
    <row r="120" spans="1:19" s="163" customFormat="1" ht="12" customHeight="1">
      <c r="A120" s="136"/>
      <c r="B120" s="132"/>
      <c r="C120" s="137"/>
      <c r="D120" s="137"/>
      <c r="E120" s="137"/>
      <c r="F120" s="137"/>
      <c r="G120" s="137"/>
      <c r="H120" s="138"/>
      <c r="I120" s="139"/>
      <c r="J120" s="139"/>
      <c r="L120" s="135"/>
      <c r="M120" s="135"/>
      <c r="N120" s="135"/>
      <c r="O120" s="135"/>
      <c r="P120" s="130"/>
      <c r="Q120" s="127"/>
      <c r="R120" s="127"/>
      <c r="S120" s="127"/>
    </row>
    <row r="121" spans="1:19" s="163" customFormat="1" ht="12" customHeight="1">
      <c r="A121" s="136"/>
      <c r="B121" s="132"/>
      <c r="C121" s="137"/>
      <c r="D121" s="137"/>
      <c r="E121" s="137"/>
      <c r="F121" s="137"/>
      <c r="G121" s="137"/>
      <c r="H121" s="138"/>
      <c r="I121" s="139"/>
      <c r="J121" s="139"/>
      <c r="L121" s="135"/>
      <c r="M121" s="135"/>
      <c r="N121" s="135"/>
      <c r="O121" s="135"/>
      <c r="P121" s="130"/>
      <c r="Q121" s="127"/>
      <c r="R121" s="127"/>
      <c r="S121" s="127"/>
    </row>
    <row r="122" spans="1:19" s="163" customFormat="1" ht="12" customHeight="1">
      <c r="A122" s="136"/>
      <c r="B122" s="132"/>
      <c r="C122" s="137"/>
      <c r="D122" s="137"/>
      <c r="E122" s="137"/>
      <c r="F122" s="137"/>
      <c r="G122" s="137"/>
      <c r="H122" s="138"/>
      <c r="I122" s="139"/>
      <c r="J122" s="139"/>
      <c r="L122" s="135"/>
      <c r="M122" s="135"/>
      <c r="N122" s="135"/>
      <c r="O122" s="135"/>
      <c r="P122" s="130"/>
      <c r="Q122" s="127"/>
      <c r="R122" s="127"/>
      <c r="S122" s="127"/>
    </row>
    <row r="123" spans="1:19" s="163" customFormat="1" ht="12" customHeight="1">
      <c r="A123" s="136"/>
      <c r="B123" s="132"/>
      <c r="C123" s="137"/>
      <c r="D123" s="137"/>
      <c r="E123" s="137"/>
      <c r="F123" s="137"/>
      <c r="G123" s="137"/>
      <c r="H123" s="138"/>
      <c r="I123" s="139"/>
      <c r="J123" s="139"/>
      <c r="L123" s="135"/>
      <c r="M123" s="135"/>
      <c r="N123" s="135"/>
      <c r="O123" s="135"/>
      <c r="P123" s="130"/>
      <c r="Q123" s="127"/>
      <c r="R123" s="127"/>
      <c r="S123" s="127"/>
    </row>
  </sheetData>
  <mergeCells count="19">
    <mergeCell ref="C4:C5"/>
    <mergeCell ref="D4:D5"/>
    <mergeCell ref="E4:E5"/>
    <mergeCell ref="B15:M15"/>
    <mergeCell ref="B11:H11"/>
    <mergeCell ref="P4:P5"/>
    <mergeCell ref="R4:R5"/>
    <mergeCell ref="S4:S5"/>
    <mergeCell ref="A7:Q7"/>
    <mergeCell ref="A8:Q8"/>
    <mergeCell ref="Q4:Q5"/>
    <mergeCell ref="F4:H4"/>
    <mergeCell ref="I4:K4"/>
    <mergeCell ref="L4:L5"/>
    <mergeCell ref="M4:M5"/>
    <mergeCell ref="A4:A5"/>
    <mergeCell ref="N4:N5"/>
    <mergeCell ref="O4:O5"/>
    <mergeCell ref="B4:B5"/>
  </mergeCells>
  <phoneticPr fontId="2" type="noConversion"/>
  <pageMargins left="0.74803149606299213" right="0.74803149606299213" top="0.6" bottom="0.6" header="0.51181102362204722" footer="0.51181102362204722"/>
  <pageSetup paperSize="9" scale="56" fitToHeight="3" orientation="landscape" r:id="rId1"/>
  <headerFooter alignWithMargins="0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124"/>
  <sheetViews>
    <sheetView view="pageBreakPreview" zoomScale="85" zoomScaleNormal="85" zoomScaleSheetLayoutView="85" workbookViewId="0">
      <pane xSplit="3" topLeftCell="D1" activePane="topRight" state="frozen"/>
      <selection activeCell="J9" sqref="J9"/>
      <selection pane="topRight" activeCell="K18" sqref="K18"/>
    </sheetView>
  </sheetViews>
  <sheetFormatPr defaultRowHeight="12" customHeight="1"/>
  <cols>
    <col min="1" max="1" width="3.77734375" style="136" customWidth="1"/>
    <col min="2" max="2" width="26.5546875" style="132" customWidth="1"/>
    <col min="3" max="3" width="26.77734375" style="132" customWidth="1"/>
    <col min="4" max="4" width="12" style="132" customWidth="1"/>
    <col min="5" max="5" width="9.6640625" style="132" bestFit="1" customWidth="1"/>
    <col min="6" max="7" width="10.33203125" style="132" bestFit="1" customWidth="1"/>
    <col min="8" max="8" width="9.6640625" style="133" bestFit="1" customWidth="1"/>
    <col min="9" max="9" width="10.33203125" style="140" bestFit="1" customWidth="1"/>
    <col min="10" max="10" width="10.109375" style="140" bestFit="1" customWidth="1"/>
    <col min="11" max="11" width="9.5546875" style="163" customWidth="1"/>
    <col min="12" max="12" width="8.44140625" style="135" bestFit="1" customWidth="1"/>
    <col min="13" max="13" width="8.44140625" style="135" customWidth="1"/>
    <col min="14" max="14" width="7.88671875" style="135" customWidth="1"/>
    <col min="15" max="15" width="6.33203125" style="135" customWidth="1"/>
    <col min="16" max="16" width="5.77734375" style="130" customWidth="1"/>
    <col min="17" max="17" width="5.33203125" style="127" customWidth="1"/>
    <col min="18" max="16384" width="8.88671875" style="127"/>
  </cols>
  <sheetData>
    <row r="1" spans="1:20" s="124" customFormat="1" ht="50.25" customHeight="1">
      <c r="A1" s="320"/>
      <c r="B1" s="594" t="s">
        <v>433</v>
      </c>
      <c r="C1" s="325" t="s">
        <v>685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s="188" customFormat="1" ht="10.5" customHeight="1">
      <c r="A2" s="568"/>
      <c r="B2" s="568"/>
      <c r="C2" s="568"/>
      <c r="D2" s="568"/>
      <c r="E2" s="568"/>
      <c r="F2" s="568"/>
      <c r="G2" s="568"/>
      <c r="H2" s="568"/>
      <c r="I2" s="568"/>
      <c r="J2" s="187"/>
      <c r="K2" s="187"/>
      <c r="L2" s="187"/>
      <c r="M2" s="187"/>
      <c r="N2" s="187"/>
      <c r="O2" s="187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  <row r="9" spans="1:20" s="195" customFormat="1" ht="19.5" customHeight="1">
      <c r="A9" s="193"/>
      <c r="B9" s="989"/>
      <c r="C9" s="989"/>
      <c r="D9" s="989"/>
      <c r="E9" s="989"/>
      <c r="F9" s="989"/>
      <c r="G9" s="989"/>
      <c r="H9" s="989"/>
      <c r="I9" s="989"/>
      <c r="J9" s="989"/>
      <c r="K9" s="989"/>
      <c r="L9" s="989"/>
      <c r="M9" s="989"/>
      <c r="N9" s="989"/>
      <c r="O9" s="989"/>
      <c r="P9" s="194"/>
    </row>
    <row r="10" spans="1:20" s="160" customFormat="1" ht="18.75" customHeight="1">
      <c r="A10" s="248"/>
      <c r="B10" s="159"/>
      <c r="C10" s="159"/>
      <c r="D10" s="159"/>
      <c r="E10" s="159"/>
      <c r="F10" s="159"/>
      <c r="G10" s="159"/>
      <c r="K10" s="322"/>
      <c r="L10" s="161"/>
      <c r="M10" s="161"/>
      <c r="N10" s="161"/>
      <c r="O10" s="161"/>
    </row>
    <row r="11" spans="1:20" s="158" customFormat="1" ht="18.75" customHeight="1">
      <c r="A11" s="248"/>
      <c r="B11" s="159"/>
      <c r="C11" s="159"/>
      <c r="D11" s="159"/>
      <c r="E11" s="159"/>
      <c r="F11" s="162"/>
      <c r="G11" s="162"/>
      <c r="H11" s="162"/>
      <c r="I11" s="162"/>
      <c r="J11" s="162"/>
      <c r="K11" s="160"/>
    </row>
    <row r="12" spans="1:20" s="158" customFormat="1" ht="42.75" customHeight="1">
      <c r="A12" s="248"/>
      <c r="B12" s="990"/>
      <c r="C12" s="990"/>
      <c r="D12" s="990"/>
      <c r="E12" s="990"/>
      <c r="F12" s="990"/>
      <c r="G12" s="990"/>
      <c r="H12" s="990"/>
      <c r="I12" s="162"/>
      <c r="J12" s="162"/>
      <c r="K12" s="160"/>
    </row>
    <row r="13" spans="1:20" s="158" customFormat="1" ht="18.75" customHeight="1">
      <c r="A13" s="248"/>
      <c r="C13" s="159"/>
      <c r="D13" s="159"/>
      <c r="E13" s="159"/>
      <c r="F13" s="162"/>
      <c r="G13" s="162"/>
      <c r="H13" s="162"/>
      <c r="I13" s="162"/>
      <c r="J13" s="162"/>
      <c r="K13" s="160"/>
    </row>
    <row r="14" spans="1:20" s="158" customFormat="1" ht="18.75" customHeight="1">
      <c r="A14" s="248"/>
      <c r="B14" s="159"/>
      <c r="C14" s="159"/>
      <c r="D14" s="159"/>
      <c r="E14" s="159"/>
      <c r="F14" s="162"/>
      <c r="G14" s="162"/>
      <c r="H14" s="162"/>
      <c r="I14" s="162"/>
      <c r="J14" s="162"/>
      <c r="K14" s="160"/>
    </row>
    <row r="15" spans="1:20" s="158" customFormat="1" ht="18.75" customHeight="1">
      <c r="A15" s="248"/>
      <c r="B15" s="159"/>
      <c r="C15" s="159"/>
      <c r="D15" s="159"/>
      <c r="E15" s="159"/>
      <c r="F15" s="159"/>
      <c r="G15" s="159"/>
      <c r="H15" s="160"/>
      <c r="I15" s="162"/>
      <c r="J15" s="162"/>
      <c r="K15" s="160"/>
    </row>
    <row r="16" spans="1:20" s="160" customFormat="1" ht="55.5" customHeight="1">
      <c r="A16" s="248"/>
      <c r="B16" s="991"/>
      <c r="C16" s="991"/>
      <c r="D16" s="991"/>
      <c r="E16" s="991"/>
      <c r="F16" s="991"/>
      <c r="G16" s="991"/>
      <c r="H16" s="991"/>
      <c r="I16" s="991"/>
      <c r="J16" s="991"/>
      <c r="K16" s="991"/>
      <c r="L16" s="991"/>
      <c r="M16" s="991"/>
      <c r="N16" s="161"/>
      <c r="O16" s="161"/>
    </row>
    <row r="17" spans="1:16" s="160" customFormat="1" ht="18.75" customHeight="1">
      <c r="A17" s="248"/>
      <c r="B17" s="159"/>
      <c r="C17" s="159"/>
      <c r="D17" s="159"/>
      <c r="E17" s="159"/>
      <c r="F17" s="159"/>
      <c r="G17" s="159"/>
      <c r="K17" s="322"/>
      <c r="L17" s="161"/>
      <c r="M17" s="161"/>
      <c r="N17" s="161"/>
      <c r="O17" s="161"/>
    </row>
    <row r="18" spans="1:16" s="160" customFormat="1" ht="18.75" customHeight="1">
      <c r="A18" s="248"/>
      <c r="B18" s="165"/>
      <c r="C18" s="165"/>
      <c r="D18" s="165"/>
      <c r="E18" s="165"/>
      <c r="F18" s="159"/>
      <c r="G18" s="159"/>
      <c r="K18" s="322"/>
      <c r="L18" s="161"/>
      <c r="M18" s="161"/>
      <c r="N18" s="161"/>
      <c r="O18" s="161"/>
    </row>
    <row r="19" spans="1:16" s="160" customFormat="1" ht="15" customHeight="1">
      <c r="B19" s="165"/>
      <c r="C19" s="165"/>
      <c r="D19" s="165"/>
      <c r="E19" s="165"/>
      <c r="F19" s="159"/>
      <c r="G19" s="159"/>
      <c r="K19" s="322"/>
      <c r="L19" s="161"/>
      <c r="M19" s="161"/>
      <c r="N19" s="161"/>
      <c r="O19" s="161"/>
    </row>
    <row r="20" spans="1:16" s="160" customFormat="1" ht="15" customHeight="1">
      <c r="B20" s="165"/>
      <c r="C20" s="165"/>
      <c r="D20" s="165"/>
      <c r="E20" s="165"/>
      <c r="F20" s="159"/>
      <c r="G20" s="159"/>
      <c r="K20" s="322"/>
      <c r="L20" s="161"/>
      <c r="M20" s="161"/>
      <c r="N20" s="161"/>
      <c r="O20" s="161"/>
    </row>
    <row r="21" spans="1:16" s="195" customFormat="1" ht="15" customHeight="1">
      <c r="A21" s="159"/>
      <c r="B21" s="159"/>
      <c r="C21" s="159"/>
      <c r="D21" s="159"/>
      <c r="E21" s="159"/>
      <c r="F21" s="196"/>
      <c r="G21" s="196"/>
      <c r="H21" s="160"/>
      <c r="I21" s="160"/>
      <c r="J21" s="160"/>
      <c r="K21" s="209"/>
      <c r="L21" s="197"/>
      <c r="M21" s="197"/>
      <c r="N21" s="197"/>
      <c r="O21" s="197"/>
      <c r="P21" s="198"/>
    </row>
    <row r="22" spans="1:16" ht="15" customHeight="1">
      <c r="B22" s="145"/>
      <c r="C22" s="145"/>
      <c r="D22" s="145"/>
      <c r="E22" s="145"/>
      <c r="F22" s="137"/>
      <c r="G22" s="137"/>
      <c r="H22" s="138"/>
      <c r="I22" s="139"/>
      <c r="J22" s="139"/>
    </row>
    <row r="23" spans="1:16" ht="15" customHeight="1">
      <c r="C23" s="137"/>
      <c r="D23" s="137"/>
      <c r="E23" s="137"/>
      <c r="F23" s="137"/>
      <c r="G23" s="137"/>
      <c r="H23" s="138"/>
      <c r="I23" s="139"/>
      <c r="J23" s="139"/>
    </row>
    <row r="24" spans="1:16" ht="15" customHeight="1">
      <c r="C24" s="137"/>
      <c r="D24" s="137"/>
      <c r="E24" s="137"/>
      <c r="F24" s="137"/>
      <c r="G24" s="137"/>
      <c r="H24" s="138"/>
      <c r="I24" s="139"/>
      <c r="J24" s="139"/>
    </row>
    <row r="25" spans="1:16" ht="12" customHeight="1">
      <c r="C25" s="137"/>
      <c r="D25" s="137"/>
      <c r="E25" s="137"/>
      <c r="F25" s="137"/>
      <c r="G25" s="137"/>
      <c r="H25" s="138"/>
      <c r="I25" s="139"/>
      <c r="J25" s="139"/>
    </row>
    <row r="26" spans="1:16" ht="12" customHeight="1">
      <c r="C26" s="137"/>
      <c r="D26" s="137"/>
      <c r="E26" s="137"/>
      <c r="F26" s="137"/>
      <c r="G26" s="137"/>
      <c r="H26" s="138"/>
      <c r="I26" s="139"/>
      <c r="J26" s="139"/>
    </row>
    <row r="27" spans="1:16" ht="12" customHeight="1">
      <c r="C27" s="137"/>
      <c r="D27" s="137"/>
      <c r="E27" s="137"/>
      <c r="F27" s="137"/>
      <c r="G27" s="137"/>
      <c r="H27" s="138"/>
      <c r="I27" s="139"/>
      <c r="J27" s="139"/>
    </row>
    <row r="28" spans="1:16" ht="12" customHeight="1">
      <c r="C28" s="137"/>
      <c r="D28" s="137"/>
      <c r="E28" s="137"/>
      <c r="F28" s="137"/>
      <c r="G28" s="137"/>
      <c r="H28" s="138"/>
      <c r="I28" s="139"/>
      <c r="J28" s="139"/>
    </row>
    <row r="29" spans="1:16" ht="12" customHeight="1">
      <c r="C29" s="137"/>
      <c r="D29" s="137"/>
      <c r="E29" s="137"/>
      <c r="F29" s="137"/>
      <c r="G29" s="137"/>
      <c r="H29" s="138"/>
      <c r="I29" s="139"/>
      <c r="J29" s="139"/>
    </row>
    <row r="30" spans="1:16" ht="12" customHeight="1">
      <c r="C30" s="137"/>
      <c r="D30" s="137"/>
      <c r="E30" s="137"/>
      <c r="F30" s="137"/>
      <c r="G30" s="137"/>
      <c r="H30" s="138"/>
      <c r="I30" s="139"/>
      <c r="J30" s="139"/>
    </row>
    <row r="31" spans="1:16" ht="12" customHeight="1">
      <c r="C31" s="137"/>
      <c r="D31" s="137"/>
      <c r="E31" s="137"/>
      <c r="F31" s="137"/>
      <c r="G31" s="137"/>
      <c r="H31" s="138"/>
      <c r="I31" s="139"/>
      <c r="J31" s="139"/>
    </row>
    <row r="32" spans="1:16" ht="12" customHeight="1">
      <c r="C32" s="137"/>
      <c r="D32" s="137"/>
      <c r="E32" s="137"/>
      <c r="F32" s="137"/>
      <c r="G32" s="137"/>
      <c r="H32" s="138"/>
      <c r="I32" s="139"/>
      <c r="J32" s="139"/>
    </row>
    <row r="33" spans="1:19" ht="12" customHeight="1">
      <c r="C33" s="137"/>
      <c r="D33" s="137"/>
      <c r="E33" s="137"/>
      <c r="F33" s="137"/>
      <c r="G33" s="137"/>
      <c r="H33" s="138"/>
      <c r="I33" s="139"/>
      <c r="J33" s="139"/>
    </row>
    <row r="34" spans="1:19" ht="12" customHeight="1">
      <c r="C34" s="137"/>
      <c r="D34" s="137"/>
      <c r="E34" s="137"/>
      <c r="F34" s="137"/>
      <c r="G34" s="137"/>
      <c r="H34" s="138"/>
      <c r="I34" s="139"/>
      <c r="J34" s="139"/>
    </row>
    <row r="35" spans="1:19" ht="12" customHeight="1">
      <c r="C35" s="137"/>
      <c r="D35" s="137"/>
      <c r="E35" s="137"/>
      <c r="F35" s="137"/>
      <c r="G35" s="137"/>
      <c r="H35" s="138"/>
      <c r="I35" s="139"/>
      <c r="J35" s="139"/>
    </row>
    <row r="36" spans="1:19" s="163" customFormat="1" ht="12" customHeight="1">
      <c r="A36" s="136"/>
      <c r="B36" s="132"/>
      <c r="C36" s="137"/>
      <c r="D36" s="137"/>
      <c r="E36" s="137"/>
      <c r="F36" s="137"/>
      <c r="G36" s="137"/>
      <c r="H36" s="138"/>
      <c r="I36" s="139"/>
      <c r="J36" s="139"/>
      <c r="L36" s="135"/>
      <c r="M36" s="135"/>
      <c r="N36" s="135"/>
      <c r="O36" s="135"/>
      <c r="P36" s="130"/>
      <c r="Q36" s="127"/>
      <c r="R36" s="127"/>
      <c r="S36" s="127"/>
    </row>
    <row r="37" spans="1:19" s="163" customFormat="1" ht="12" customHeight="1">
      <c r="A37" s="136"/>
      <c r="B37" s="132"/>
      <c r="C37" s="137"/>
      <c r="D37" s="137"/>
      <c r="E37" s="137"/>
      <c r="F37" s="137"/>
      <c r="G37" s="137"/>
      <c r="H37" s="138"/>
      <c r="I37" s="139"/>
      <c r="J37" s="139"/>
      <c r="L37" s="135"/>
      <c r="M37" s="135"/>
      <c r="N37" s="135"/>
      <c r="O37" s="135"/>
      <c r="P37" s="130"/>
      <c r="Q37" s="127"/>
      <c r="R37" s="127"/>
      <c r="S37" s="127"/>
    </row>
    <row r="38" spans="1:19" s="163" customFormat="1" ht="12" customHeight="1">
      <c r="A38" s="136"/>
      <c r="B38" s="132"/>
      <c r="C38" s="137"/>
      <c r="D38" s="137"/>
      <c r="E38" s="137"/>
      <c r="F38" s="137"/>
      <c r="G38" s="137"/>
      <c r="H38" s="138"/>
      <c r="I38" s="139"/>
      <c r="J38" s="139"/>
      <c r="L38" s="135"/>
      <c r="M38" s="135"/>
      <c r="N38" s="135"/>
      <c r="O38" s="135"/>
      <c r="P38" s="130"/>
      <c r="Q38" s="127"/>
      <c r="R38" s="127"/>
      <c r="S38" s="127"/>
    </row>
    <row r="39" spans="1:19" s="163" customFormat="1" ht="12" customHeight="1">
      <c r="A39" s="136"/>
      <c r="B39" s="132"/>
      <c r="C39" s="137"/>
      <c r="D39" s="137"/>
      <c r="E39" s="137"/>
      <c r="F39" s="137"/>
      <c r="G39" s="137"/>
      <c r="H39" s="138"/>
      <c r="I39" s="139"/>
      <c r="J39" s="139"/>
      <c r="L39" s="135"/>
      <c r="M39" s="135"/>
      <c r="N39" s="135"/>
      <c r="O39" s="135"/>
      <c r="P39" s="130"/>
      <c r="Q39" s="127"/>
      <c r="R39" s="127"/>
      <c r="S39" s="127"/>
    </row>
    <row r="40" spans="1:19" s="163" customFormat="1" ht="12" customHeight="1">
      <c r="A40" s="136"/>
      <c r="B40" s="132"/>
      <c r="C40" s="137"/>
      <c r="D40" s="137"/>
      <c r="E40" s="137"/>
      <c r="F40" s="137"/>
      <c r="G40" s="137"/>
      <c r="H40" s="138"/>
      <c r="I40" s="139"/>
      <c r="J40" s="139"/>
      <c r="L40" s="135"/>
      <c r="M40" s="135"/>
      <c r="N40" s="135"/>
      <c r="O40" s="135"/>
      <c r="P40" s="130"/>
      <c r="Q40" s="127"/>
      <c r="R40" s="127"/>
      <c r="S40" s="127"/>
    </row>
    <row r="41" spans="1:19" s="163" customFormat="1" ht="12" customHeight="1">
      <c r="A41" s="136"/>
      <c r="B41" s="132"/>
      <c r="C41" s="137"/>
      <c r="D41" s="137"/>
      <c r="E41" s="137"/>
      <c r="F41" s="137"/>
      <c r="G41" s="137"/>
      <c r="H41" s="138"/>
      <c r="I41" s="139"/>
      <c r="J41" s="139"/>
      <c r="L41" s="135"/>
      <c r="M41" s="135"/>
      <c r="N41" s="135"/>
      <c r="O41" s="135"/>
      <c r="P41" s="130"/>
      <c r="Q41" s="127"/>
      <c r="R41" s="127"/>
      <c r="S41" s="127"/>
    </row>
    <row r="42" spans="1:19" s="163" customFormat="1" ht="12" customHeight="1">
      <c r="A42" s="136"/>
      <c r="B42" s="132"/>
      <c r="C42" s="137"/>
      <c r="D42" s="137"/>
      <c r="E42" s="137"/>
      <c r="F42" s="137"/>
      <c r="G42" s="137"/>
      <c r="H42" s="138"/>
      <c r="I42" s="139"/>
      <c r="J42" s="139"/>
      <c r="L42" s="135"/>
      <c r="M42" s="135"/>
      <c r="N42" s="135"/>
      <c r="O42" s="135"/>
      <c r="P42" s="130"/>
      <c r="Q42" s="127"/>
      <c r="R42" s="127"/>
      <c r="S42" s="127"/>
    </row>
    <row r="43" spans="1:19" s="163" customFormat="1" ht="12" customHeight="1">
      <c r="A43" s="136"/>
      <c r="B43" s="132"/>
      <c r="C43" s="137"/>
      <c r="D43" s="137"/>
      <c r="E43" s="137"/>
      <c r="F43" s="137"/>
      <c r="G43" s="137"/>
      <c r="H43" s="138"/>
      <c r="I43" s="139"/>
      <c r="J43" s="139"/>
      <c r="L43" s="135"/>
      <c r="M43" s="135"/>
      <c r="N43" s="135"/>
      <c r="O43" s="135"/>
      <c r="P43" s="130"/>
      <c r="Q43" s="127"/>
      <c r="R43" s="127"/>
      <c r="S43" s="127"/>
    </row>
    <row r="44" spans="1:19" s="163" customFormat="1" ht="12" customHeight="1">
      <c r="A44" s="136"/>
      <c r="B44" s="132"/>
      <c r="C44" s="137"/>
      <c r="D44" s="137"/>
      <c r="E44" s="137"/>
      <c r="F44" s="137"/>
      <c r="G44" s="137"/>
      <c r="H44" s="138"/>
      <c r="I44" s="139"/>
      <c r="J44" s="139"/>
      <c r="L44" s="135"/>
      <c r="M44" s="135"/>
      <c r="N44" s="135"/>
      <c r="O44" s="135"/>
      <c r="P44" s="130"/>
      <c r="Q44" s="127"/>
      <c r="R44" s="127"/>
      <c r="S44" s="127"/>
    </row>
    <row r="45" spans="1:19" s="163" customFormat="1" ht="12" customHeight="1">
      <c r="A45" s="136"/>
      <c r="B45" s="132"/>
      <c r="C45" s="137"/>
      <c r="D45" s="137"/>
      <c r="E45" s="137"/>
      <c r="F45" s="137"/>
      <c r="G45" s="137"/>
      <c r="H45" s="138"/>
      <c r="I45" s="139"/>
      <c r="J45" s="139"/>
      <c r="L45" s="135"/>
      <c r="M45" s="135"/>
      <c r="N45" s="135"/>
      <c r="O45" s="135"/>
      <c r="P45" s="130"/>
      <c r="Q45" s="127"/>
      <c r="R45" s="127"/>
      <c r="S45" s="127"/>
    </row>
    <row r="46" spans="1:19" s="163" customFormat="1" ht="12" customHeight="1">
      <c r="A46" s="136"/>
      <c r="B46" s="132"/>
      <c r="C46" s="137"/>
      <c r="D46" s="137"/>
      <c r="E46" s="137"/>
      <c r="F46" s="137"/>
      <c r="G46" s="137"/>
      <c r="H46" s="138"/>
      <c r="I46" s="139"/>
      <c r="J46" s="139"/>
      <c r="L46" s="135"/>
      <c r="M46" s="135"/>
      <c r="N46" s="135"/>
      <c r="O46" s="135"/>
      <c r="P46" s="130"/>
      <c r="Q46" s="127"/>
      <c r="R46" s="127"/>
      <c r="S46" s="127"/>
    </row>
    <row r="47" spans="1:19" s="163" customFormat="1" ht="12" customHeight="1">
      <c r="A47" s="136"/>
      <c r="B47" s="132"/>
      <c r="C47" s="137"/>
      <c r="D47" s="137"/>
      <c r="E47" s="137"/>
      <c r="F47" s="137"/>
      <c r="G47" s="137"/>
      <c r="H47" s="138"/>
      <c r="I47" s="139"/>
      <c r="J47" s="139"/>
      <c r="L47" s="135"/>
      <c r="M47" s="135"/>
      <c r="N47" s="135"/>
      <c r="O47" s="135"/>
      <c r="P47" s="130"/>
      <c r="Q47" s="127"/>
      <c r="R47" s="127"/>
      <c r="S47" s="127"/>
    </row>
    <row r="48" spans="1:19" s="163" customFormat="1" ht="12" customHeight="1">
      <c r="A48" s="136"/>
      <c r="B48" s="132"/>
      <c r="C48" s="137"/>
      <c r="D48" s="137"/>
      <c r="E48" s="137"/>
      <c r="F48" s="137"/>
      <c r="G48" s="137"/>
      <c r="H48" s="138"/>
      <c r="I48" s="139"/>
      <c r="J48" s="139"/>
      <c r="L48" s="135"/>
      <c r="M48" s="135"/>
      <c r="N48" s="135"/>
      <c r="O48" s="135"/>
      <c r="P48" s="130"/>
      <c r="Q48" s="127"/>
      <c r="R48" s="127"/>
      <c r="S48" s="127"/>
    </row>
    <row r="49" spans="1:19" s="163" customFormat="1" ht="12" customHeight="1">
      <c r="A49" s="136"/>
      <c r="B49" s="132"/>
      <c r="C49" s="137"/>
      <c r="D49" s="137"/>
      <c r="E49" s="137"/>
      <c r="F49" s="137"/>
      <c r="G49" s="137"/>
      <c r="H49" s="138"/>
      <c r="I49" s="139"/>
      <c r="J49" s="139"/>
      <c r="L49" s="135"/>
      <c r="M49" s="135"/>
      <c r="N49" s="135"/>
      <c r="O49" s="135"/>
      <c r="P49" s="130"/>
      <c r="Q49" s="127"/>
      <c r="R49" s="127"/>
      <c r="S49" s="127"/>
    </row>
    <row r="50" spans="1:19" s="163" customFormat="1" ht="12" customHeight="1">
      <c r="A50" s="136"/>
      <c r="B50" s="132"/>
      <c r="C50" s="137"/>
      <c r="D50" s="137"/>
      <c r="E50" s="137"/>
      <c r="F50" s="137"/>
      <c r="G50" s="137"/>
      <c r="H50" s="138"/>
      <c r="I50" s="139"/>
      <c r="J50" s="139"/>
      <c r="L50" s="135"/>
      <c r="M50" s="135"/>
      <c r="N50" s="135"/>
      <c r="O50" s="135"/>
      <c r="P50" s="130"/>
      <c r="Q50" s="127"/>
      <c r="R50" s="127"/>
      <c r="S50" s="127"/>
    </row>
    <row r="51" spans="1:19" s="163" customFormat="1" ht="12" customHeight="1">
      <c r="A51" s="136"/>
      <c r="B51" s="132"/>
      <c r="C51" s="137"/>
      <c r="D51" s="137"/>
      <c r="E51" s="137"/>
      <c r="F51" s="137"/>
      <c r="G51" s="137"/>
      <c r="H51" s="138"/>
      <c r="I51" s="139"/>
      <c r="J51" s="139"/>
      <c r="L51" s="135"/>
      <c r="M51" s="135"/>
      <c r="N51" s="135"/>
      <c r="O51" s="135"/>
      <c r="P51" s="130"/>
      <c r="Q51" s="127"/>
      <c r="R51" s="127"/>
      <c r="S51" s="127"/>
    </row>
    <row r="52" spans="1:19" s="163" customFormat="1" ht="12" customHeight="1">
      <c r="A52" s="136"/>
      <c r="B52" s="132"/>
      <c r="C52" s="137"/>
      <c r="D52" s="137"/>
      <c r="E52" s="137"/>
      <c r="F52" s="137"/>
      <c r="G52" s="137"/>
      <c r="H52" s="138"/>
      <c r="I52" s="139"/>
      <c r="J52" s="139"/>
      <c r="L52" s="135"/>
      <c r="M52" s="135"/>
      <c r="N52" s="135"/>
      <c r="O52" s="135"/>
      <c r="P52" s="130"/>
      <c r="Q52" s="127"/>
      <c r="R52" s="127"/>
      <c r="S52" s="127"/>
    </row>
    <row r="53" spans="1:19" s="163" customFormat="1" ht="12" customHeight="1">
      <c r="A53" s="136"/>
      <c r="B53" s="132"/>
      <c r="C53" s="137"/>
      <c r="D53" s="137"/>
      <c r="E53" s="137"/>
      <c r="F53" s="137"/>
      <c r="G53" s="137"/>
      <c r="H53" s="138"/>
      <c r="I53" s="139"/>
      <c r="J53" s="139"/>
      <c r="L53" s="135"/>
      <c r="M53" s="135"/>
      <c r="N53" s="135"/>
      <c r="O53" s="135"/>
      <c r="P53" s="130"/>
      <c r="Q53" s="127"/>
      <c r="R53" s="127"/>
      <c r="S53" s="127"/>
    </row>
    <row r="54" spans="1:19" s="163" customFormat="1" ht="12" customHeight="1">
      <c r="A54" s="136"/>
      <c r="B54" s="132"/>
      <c r="C54" s="137"/>
      <c r="D54" s="137"/>
      <c r="E54" s="137"/>
      <c r="F54" s="137"/>
      <c r="G54" s="137"/>
      <c r="H54" s="138"/>
      <c r="I54" s="139"/>
      <c r="J54" s="139"/>
      <c r="L54" s="135"/>
      <c r="M54" s="135"/>
      <c r="N54" s="135"/>
      <c r="O54" s="135"/>
      <c r="P54" s="130"/>
      <c r="Q54" s="127"/>
      <c r="R54" s="127"/>
      <c r="S54" s="127"/>
    </row>
    <row r="55" spans="1:19" s="163" customFormat="1" ht="12" customHeight="1">
      <c r="A55" s="136"/>
      <c r="B55" s="132"/>
      <c r="C55" s="137"/>
      <c r="D55" s="137"/>
      <c r="E55" s="137"/>
      <c r="F55" s="137"/>
      <c r="G55" s="137"/>
      <c r="H55" s="138"/>
      <c r="I55" s="139"/>
      <c r="J55" s="139"/>
      <c r="L55" s="135"/>
      <c r="M55" s="135"/>
      <c r="N55" s="135"/>
      <c r="O55" s="135"/>
      <c r="P55" s="130"/>
      <c r="Q55" s="127"/>
      <c r="R55" s="127"/>
      <c r="S55" s="127"/>
    </row>
    <row r="56" spans="1:19" s="163" customFormat="1" ht="12" customHeight="1">
      <c r="A56" s="136"/>
      <c r="B56" s="132"/>
      <c r="C56" s="137"/>
      <c r="D56" s="137"/>
      <c r="E56" s="137"/>
      <c r="F56" s="137"/>
      <c r="G56" s="137"/>
      <c r="H56" s="138"/>
      <c r="I56" s="139"/>
      <c r="J56" s="139"/>
      <c r="L56" s="135"/>
      <c r="M56" s="135"/>
      <c r="N56" s="135"/>
      <c r="O56" s="135"/>
      <c r="P56" s="130"/>
      <c r="Q56" s="127"/>
      <c r="R56" s="127"/>
      <c r="S56" s="127"/>
    </row>
    <row r="57" spans="1:19" s="163" customFormat="1" ht="12" customHeight="1">
      <c r="A57" s="136"/>
      <c r="B57" s="132"/>
      <c r="C57" s="137"/>
      <c r="D57" s="137"/>
      <c r="E57" s="137"/>
      <c r="F57" s="137"/>
      <c r="G57" s="137"/>
      <c r="H57" s="138"/>
      <c r="I57" s="139"/>
      <c r="J57" s="139"/>
      <c r="L57" s="135"/>
      <c r="M57" s="135"/>
      <c r="N57" s="135"/>
      <c r="O57" s="135"/>
      <c r="P57" s="130"/>
      <c r="Q57" s="127"/>
      <c r="R57" s="127"/>
      <c r="S57" s="127"/>
    </row>
    <row r="58" spans="1:19" s="163" customFormat="1" ht="12" customHeight="1">
      <c r="A58" s="136"/>
      <c r="B58" s="132"/>
      <c r="C58" s="137"/>
      <c r="D58" s="137"/>
      <c r="E58" s="137"/>
      <c r="F58" s="137"/>
      <c r="G58" s="137"/>
      <c r="H58" s="138"/>
      <c r="I58" s="139"/>
      <c r="J58" s="139"/>
      <c r="L58" s="135"/>
      <c r="M58" s="135"/>
      <c r="N58" s="135"/>
      <c r="O58" s="135"/>
      <c r="P58" s="130"/>
      <c r="Q58" s="127"/>
      <c r="R58" s="127"/>
      <c r="S58" s="127"/>
    </row>
    <row r="59" spans="1:19" s="163" customFormat="1" ht="12" customHeight="1">
      <c r="A59" s="136"/>
      <c r="B59" s="132"/>
      <c r="C59" s="137"/>
      <c r="D59" s="137"/>
      <c r="E59" s="137"/>
      <c r="F59" s="137"/>
      <c r="G59" s="137"/>
      <c r="H59" s="138"/>
      <c r="I59" s="139"/>
      <c r="J59" s="139"/>
      <c r="L59" s="135"/>
      <c r="M59" s="135"/>
      <c r="N59" s="135"/>
      <c r="O59" s="135"/>
      <c r="P59" s="130"/>
      <c r="Q59" s="127"/>
      <c r="R59" s="127"/>
      <c r="S59" s="127"/>
    </row>
    <row r="60" spans="1:19" s="163" customFormat="1" ht="12" customHeight="1">
      <c r="A60" s="136"/>
      <c r="B60" s="132"/>
      <c r="C60" s="137"/>
      <c r="D60" s="137"/>
      <c r="E60" s="137"/>
      <c r="F60" s="137"/>
      <c r="G60" s="137"/>
      <c r="H60" s="138"/>
      <c r="I60" s="139"/>
      <c r="J60" s="139"/>
      <c r="L60" s="135"/>
      <c r="M60" s="135"/>
      <c r="N60" s="135"/>
      <c r="O60" s="135"/>
      <c r="P60" s="130"/>
      <c r="Q60" s="127"/>
      <c r="R60" s="127"/>
      <c r="S60" s="127"/>
    </row>
    <row r="61" spans="1:19" s="163" customFormat="1" ht="12" customHeight="1">
      <c r="A61" s="136"/>
      <c r="B61" s="132"/>
      <c r="C61" s="137"/>
      <c r="D61" s="137"/>
      <c r="E61" s="137"/>
      <c r="F61" s="137"/>
      <c r="G61" s="137"/>
      <c r="H61" s="138"/>
      <c r="I61" s="139"/>
      <c r="J61" s="139"/>
      <c r="L61" s="135"/>
      <c r="M61" s="135"/>
      <c r="N61" s="135"/>
      <c r="O61" s="135"/>
      <c r="P61" s="130"/>
      <c r="Q61" s="127"/>
      <c r="R61" s="127"/>
      <c r="S61" s="127"/>
    </row>
    <row r="62" spans="1:19" s="163" customFormat="1" ht="12" customHeight="1">
      <c r="A62" s="136"/>
      <c r="B62" s="132"/>
      <c r="C62" s="137"/>
      <c r="D62" s="137"/>
      <c r="E62" s="137"/>
      <c r="F62" s="137"/>
      <c r="G62" s="137"/>
      <c r="H62" s="138"/>
      <c r="I62" s="139"/>
      <c r="J62" s="139"/>
      <c r="L62" s="135"/>
      <c r="M62" s="135"/>
      <c r="N62" s="135"/>
      <c r="O62" s="135"/>
      <c r="P62" s="130"/>
      <c r="Q62" s="127"/>
      <c r="R62" s="127"/>
      <c r="S62" s="127"/>
    </row>
    <row r="63" spans="1:19" s="163" customFormat="1" ht="12" customHeight="1">
      <c r="A63" s="136"/>
      <c r="B63" s="132"/>
      <c r="C63" s="137"/>
      <c r="D63" s="137"/>
      <c r="E63" s="137"/>
      <c r="F63" s="137"/>
      <c r="G63" s="137"/>
      <c r="H63" s="138"/>
      <c r="I63" s="139"/>
      <c r="J63" s="139"/>
      <c r="L63" s="135"/>
      <c r="M63" s="135"/>
      <c r="N63" s="135"/>
      <c r="O63" s="135"/>
      <c r="P63" s="130"/>
      <c r="Q63" s="127"/>
      <c r="R63" s="127"/>
      <c r="S63" s="127"/>
    </row>
    <row r="64" spans="1:19" s="163" customFormat="1" ht="12" customHeight="1">
      <c r="A64" s="136"/>
      <c r="B64" s="132"/>
      <c r="C64" s="137"/>
      <c r="D64" s="137"/>
      <c r="E64" s="137"/>
      <c r="F64" s="137"/>
      <c r="G64" s="137"/>
      <c r="H64" s="138"/>
      <c r="I64" s="139"/>
      <c r="J64" s="139"/>
      <c r="L64" s="135"/>
      <c r="M64" s="135"/>
      <c r="N64" s="135"/>
      <c r="O64" s="135"/>
      <c r="P64" s="130"/>
      <c r="Q64" s="127"/>
      <c r="R64" s="127"/>
      <c r="S64" s="127"/>
    </row>
    <row r="65" spans="1:19" s="163" customFormat="1" ht="12" customHeight="1">
      <c r="A65" s="136"/>
      <c r="B65" s="132"/>
      <c r="C65" s="137"/>
      <c r="D65" s="137"/>
      <c r="E65" s="137"/>
      <c r="F65" s="137"/>
      <c r="G65" s="137"/>
      <c r="H65" s="138"/>
      <c r="I65" s="139"/>
      <c r="J65" s="139"/>
      <c r="L65" s="135"/>
      <c r="M65" s="135"/>
      <c r="N65" s="135"/>
      <c r="O65" s="135"/>
      <c r="P65" s="130"/>
      <c r="Q65" s="127"/>
      <c r="R65" s="127"/>
      <c r="S65" s="127"/>
    </row>
    <row r="66" spans="1:19" s="163" customFormat="1" ht="12" customHeight="1">
      <c r="A66" s="136"/>
      <c r="B66" s="132"/>
      <c r="C66" s="137"/>
      <c r="D66" s="137"/>
      <c r="E66" s="137"/>
      <c r="F66" s="137"/>
      <c r="G66" s="137"/>
      <c r="H66" s="138"/>
      <c r="I66" s="139"/>
      <c r="J66" s="139"/>
      <c r="L66" s="135"/>
      <c r="M66" s="135"/>
      <c r="N66" s="135"/>
      <c r="O66" s="135"/>
      <c r="P66" s="130"/>
      <c r="Q66" s="127"/>
      <c r="R66" s="127"/>
      <c r="S66" s="127"/>
    </row>
    <row r="67" spans="1:19" s="163" customFormat="1" ht="12" customHeight="1">
      <c r="A67" s="136"/>
      <c r="B67" s="132"/>
      <c r="C67" s="137"/>
      <c r="D67" s="137"/>
      <c r="E67" s="137"/>
      <c r="F67" s="137"/>
      <c r="G67" s="137"/>
      <c r="H67" s="138"/>
      <c r="I67" s="139"/>
      <c r="J67" s="139"/>
      <c r="L67" s="135"/>
      <c r="M67" s="135"/>
      <c r="N67" s="135"/>
      <c r="O67" s="135"/>
      <c r="P67" s="130"/>
      <c r="Q67" s="127"/>
      <c r="R67" s="127"/>
      <c r="S67" s="127"/>
    </row>
    <row r="68" spans="1:19" s="163" customFormat="1" ht="12" customHeight="1">
      <c r="A68" s="136"/>
      <c r="B68" s="132"/>
      <c r="C68" s="137"/>
      <c r="D68" s="137"/>
      <c r="E68" s="137"/>
      <c r="F68" s="137"/>
      <c r="G68" s="137"/>
      <c r="H68" s="138"/>
      <c r="I68" s="139"/>
      <c r="J68" s="139"/>
      <c r="L68" s="135"/>
      <c r="M68" s="135"/>
      <c r="N68" s="135"/>
      <c r="O68" s="135"/>
      <c r="P68" s="130"/>
      <c r="Q68" s="127"/>
      <c r="R68" s="127"/>
      <c r="S68" s="127"/>
    </row>
    <row r="69" spans="1:19" s="163" customFormat="1" ht="12" customHeight="1">
      <c r="A69" s="136"/>
      <c r="B69" s="132"/>
      <c r="C69" s="137"/>
      <c r="D69" s="137"/>
      <c r="E69" s="137"/>
      <c r="F69" s="137"/>
      <c r="G69" s="137"/>
      <c r="H69" s="138"/>
      <c r="I69" s="139"/>
      <c r="J69" s="139"/>
      <c r="L69" s="135"/>
      <c r="M69" s="135"/>
      <c r="N69" s="135"/>
      <c r="O69" s="135"/>
      <c r="P69" s="130"/>
      <c r="Q69" s="127"/>
      <c r="R69" s="127"/>
      <c r="S69" s="127"/>
    </row>
    <row r="70" spans="1:19" s="163" customFormat="1" ht="12" customHeight="1">
      <c r="A70" s="136"/>
      <c r="B70" s="132"/>
      <c r="C70" s="137"/>
      <c r="D70" s="137"/>
      <c r="E70" s="137"/>
      <c r="F70" s="137"/>
      <c r="G70" s="137"/>
      <c r="H70" s="138"/>
      <c r="I70" s="139"/>
      <c r="J70" s="139"/>
      <c r="L70" s="135"/>
      <c r="M70" s="135"/>
      <c r="N70" s="135"/>
      <c r="O70" s="135"/>
      <c r="P70" s="130"/>
      <c r="Q70" s="127"/>
      <c r="R70" s="127"/>
      <c r="S70" s="127"/>
    </row>
    <row r="71" spans="1:19" s="163" customFormat="1" ht="12" customHeight="1">
      <c r="A71" s="136"/>
      <c r="B71" s="132"/>
      <c r="C71" s="137"/>
      <c r="D71" s="137"/>
      <c r="E71" s="137"/>
      <c r="F71" s="137"/>
      <c r="G71" s="137"/>
      <c r="H71" s="138"/>
      <c r="I71" s="139"/>
      <c r="J71" s="139"/>
      <c r="L71" s="135"/>
      <c r="M71" s="135"/>
      <c r="N71" s="135"/>
      <c r="O71" s="135"/>
      <c r="P71" s="130"/>
      <c r="Q71" s="127"/>
      <c r="R71" s="127"/>
      <c r="S71" s="127"/>
    </row>
    <row r="72" spans="1:19" s="163" customFormat="1" ht="12" customHeight="1">
      <c r="A72" s="136"/>
      <c r="B72" s="132"/>
      <c r="C72" s="137"/>
      <c r="D72" s="137"/>
      <c r="E72" s="137"/>
      <c r="F72" s="137"/>
      <c r="G72" s="137"/>
      <c r="H72" s="138"/>
      <c r="I72" s="139"/>
      <c r="J72" s="139"/>
      <c r="L72" s="135"/>
      <c r="M72" s="135"/>
      <c r="N72" s="135"/>
      <c r="O72" s="135"/>
      <c r="P72" s="130"/>
      <c r="Q72" s="127"/>
      <c r="R72" s="127"/>
      <c r="S72" s="127"/>
    </row>
    <row r="73" spans="1:19" s="163" customFormat="1" ht="12" customHeight="1">
      <c r="A73" s="136"/>
      <c r="B73" s="132"/>
      <c r="C73" s="137"/>
      <c r="D73" s="137"/>
      <c r="E73" s="137"/>
      <c r="F73" s="137"/>
      <c r="G73" s="137"/>
      <c r="H73" s="138"/>
      <c r="I73" s="139"/>
      <c r="J73" s="139"/>
      <c r="L73" s="135"/>
      <c r="M73" s="135"/>
      <c r="N73" s="135"/>
      <c r="O73" s="135"/>
      <c r="P73" s="130"/>
      <c r="Q73" s="127"/>
      <c r="R73" s="127"/>
      <c r="S73" s="127"/>
    </row>
    <row r="74" spans="1:19" s="163" customFormat="1" ht="12" customHeight="1">
      <c r="A74" s="136"/>
      <c r="B74" s="132"/>
      <c r="C74" s="137"/>
      <c r="D74" s="137"/>
      <c r="E74" s="137"/>
      <c r="F74" s="137"/>
      <c r="G74" s="137"/>
      <c r="H74" s="138"/>
      <c r="I74" s="139"/>
      <c r="J74" s="139"/>
      <c r="L74" s="135"/>
      <c r="M74" s="135"/>
      <c r="N74" s="135"/>
      <c r="O74" s="135"/>
      <c r="P74" s="130"/>
      <c r="Q74" s="127"/>
      <c r="R74" s="127"/>
      <c r="S74" s="127"/>
    </row>
    <row r="75" spans="1:19" s="163" customFormat="1" ht="12" customHeight="1">
      <c r="A75" s="136"/>
      <c r="B75" s="132"/>
      <c r="C75" s="137"/>
      <c r="D75" s="137"/>
      <c r="E75" s="137"/>
      <c r="F75" s="137"/>
      <c r="G75" s="137"/>
      <c r="H75" s="138"/>
      <c r="I75" s="139"/>
      <c r="J75" s="139"/>
      <c r="L75" s="135"/>
      <c r="M75" s="135"/>
      <c r="N75" s="135"/>
      <c r="O75" s="135"/>
      <c r="P75" s="130"/>
      <c r="Q75" s="127"/>
      <c r="R75" s="127"/>
      <c r="S75" s="127"/>
    </row>
    <row r="76" spans="1:19" s="163" customFormat="1" ht="12" customHeight="1">
      <c r="A76" s="136"/>
      <c r="B76" s="132"/>
      <c r="C76" s="137"/>
      <c r="D76" s="137"/>
      <c r="E76" s="137"/>
      <c r="F76" s="137"/>
      <c r="G76" s="137"/>
      <c r="H76" s="138"/>
      <c r="I76" s="139"/>
      <c r="J76" s="139"/>
      <c r="L76" s="135"/>
      <c r="M76" s="135"/>
      <c r="N76" s="135"/>
      <c r="O76" s="135"/>
      <c r="P76" s="130"/>
      <c r="Q76" s="127"/>
      <c r="R76" s="127"/>
      <c r="S76" s="127"/>
    </row>
    <row r="77" spans="1:19" s="163" customFormat="1" ht="12" customHeight="1">
      <c r="A77" s="136"/>
      <c r="B77" s="132"/>
      <c r="C77" s="137"/>
      <c r="D77" s="137"/>
      <c r="E77" s="137"/>
      <c r="F77" s="137"/>
      <c r="G77" s="137"/>
      <c r="H77" s="138"/>
      <c r="I77" s="139"/>
      <c r="J77" s="139"/>
      <c r="L77" s="135"/>
      <c r="M77" s="135"/>
      <c r="N77" s="135"/>
      <c r="O77" s="135"/>
      <c r="P77" s="130"/>
      <c r="Q77" s="127"/>
      <c r="R77" s="127"/>
      <c r="S77" s="127"/>
    </row>
    <row r="78" spans="1:19" s="163" customFormat="1" ht="12" customHeight="1">
      <c r="A78" s="136"/>
      <c r="B78" s="132"/>
      <c r="C78" s="137"/>
      <c r="D78" s="137"/>
      <c r="E78" s="137"/>
      <c r="F78" s="137"/>
      <c r="G78" s="137"/>
      <c r="H78" s="138"/>
      <c r="I78" s="139"/>
      <c r="J78" s="139"/>
      <c r="L78" s="135"/>
      <c r="M78" s="135"/>
      <c r="N78" s="135"/>
      <c r="O78" s="135"/>
      <c r="P78" s="130"/>
      <c r="Q78" s="127"/>
      <c r="R78" s="127"/>
      <c r="S78" s="127"/>
    </row>
    <row r="79" spans="1:19" s="163" customFormat="1" ht="12" customHeight="1">
      <c r="A79" s="136"/>
      <c r="B79" s="132"/>
      <c r="C79" s="137"/>
      <c r="D79" s="137"/>
      <c r="E79" s="137"/>
      <c r="F79" s="137"/>
      <c r="G79" s="137"/>
      <c r="H79" s="138"/>
      <c r="I79" s="139"/>
      <c r="J79" s="139"/>
      <c r="L79" s="135"/>
      <c r="M79" s="135"/>
      <c r="N79" s="135"/>
      <c r="O79" s="135"/>
      <c r="P79" s="130"/>
      <c r="Q79" s="127"/>
      <c r="R79" s="127"/>
      <c r="S79" s="127"/>
    </row>
    <row r="80" spans="1:19" s="163" customFormat="1" ht="12" customHeight="1">
      <c r="A80" s="136"/>
      <c r="B80" s="132"/>
      <c r="C80" s="137"/>
      <c r="D80" s="137"/>
      <c r="E80" s="137"/>
      <c r="F80" s="137"/>
      <c r="G80" s="137"/>
      <c r="H80" s="138"/>
      <c r="I80" s="139"/>
      <c r="J80" s="139"/>
      <c r="L80" s="135"/>
      <c r="M80" s="135"/>
      <c r="N80" s="135"/>
      <c r="O80" s="135"/>
      <c r="P80" s="130"/>
      <c r="Q80" s="127"/>
      <c r="R80" s="127"/>
      <c r="S80" s="127"/>
    </row>
    <row r="81" spans="1:19" s="163" customFormat="1" ht="12" customHeight="1">
      <c r="A81" s="136"/>
      <c r="B81" s="132"/>
      <c r="C81" s="137"/>
      <c r="D81" s="137"/>
      <c r="E81" s="137"/>
      <c r="F81" s="137"/>
      <c r="G81" s="137"/>
      <c r="H81" s="138"/>
      <c r="I81" s="139"/>
      <c r="J81" s="139"/>
      <c r="L81" s="135"/>
      <c r="M81" s="135"/>
      <c r="N81" s="135"/>
      <c r="O81" s="135"/>
      <c r="P81" s="130"/>
      <c r="Q81" s="127"/>
      <c r="R81" s="127"/>
      <c r="S81" s="127"/>
    </row>
    <row r="82" spans="1:19" s="163" customFormat="1" ht="12" customHeight="1">
      <c r="A82" s="136"/>
      <c r="B82" s="132"/>
      <c r="C82" s="137"/>
      <c r="D82" s="137"/>
      <c r="E82" s="137"/>
      <c r="F82" s="137"/>
      <c r="G82" s="137"/>
      <c r="H82" s="138"/>
      <c r="I82" s="139"/>
      <c r="J82" s="139"/>
      <c r="L82" s="135"/>
      <c r="M82" s="135"/>
      <c r="N82" s="135"/>
      <c r="O82" s="135"/>
      <c r="P82" s="130"/>
      <c r="Q82" s="127"/>
      <c r="R82" s="127"/>
      <c r="S82" s="127"/>
    </row>
    <row r="83" spans="1:19" s="163" customFormat="1" ht="12" customHeight="1">
      <c r="A83" s="136"/>
      <c r="B83" s="132"/>
      <c r="C83" s="137"/>
      <c r="D83" s="137"/>
      <c r="E83" s="137"/>
      <c r="F83" s="137"/>
      <c r="G83" s="137"/>
      <c r="H83" s="138"/>
      <c r="I83" s="139"/>
      <c r="J83" s="139"/>
      <c r="L83" s="135"/>
      <c r="M83" s="135"/>
      <c r="N83" s="135"/>
      <c r="O83" s="135"/>
      <c r="P83" s="130"/>
      <c r="Q83" s="127"/>
      <c r="R83" s="127"/>
      <c r="S83" s="127"/>
    </row>
    <row r="84" spans="1:19" s="163" customFormat="1" ht="12" customHeight="1">
      <c r="A84" s="136"/>
      <c r="B84" s="132"/>
      <c r="C84" s="137"/>
      <c r="D84" s="137"/>
      <c r="E84" s="137"/>
      <c r="F84" s="137"/>
      <c r="G84" s="137"/>
      <c r="H84" s="138"/>
      <c r="I84" s="139"/>
      <c r="J84" s="139"/>
      <c r="L84" s="135"/>
      <c r="M84" s="135"/>
      <c r="N84" s="135"/>
      <c r="O84" s="135"/>
      <c r="P84" s="130"/>
      <c r="Q84" s="127"/>
      <c r="R84" s="127"/>
      <c r="S84" s="127"/>
    </row>
    <row r="85" spans="1:19" s="163" customFormat="1" ht="12" customHeight="1">
      <c r="A85" s="136"/>
      <c r="B85" s="132"/>
      <c r="C85" s="137"/>
      <c r="D85" s="137"/>
      <c r="E85" s="137"/>
      <c r="F85" s="137"/>
      <c r="G85" s="137"/>
      <c r="H85" s="138"/>
      <c r="I85" s="139"/>
      <c r="J85" s="139"/>
      <c r="L85" s="135"/>
      <c r="M85" s="135"/>
      <c r="N85" s="135"/>
      <c r="O85" s="135"/>
      <c r="P85" s="130"/>
      <c r="Q85" s="127"/>
      <c r="R85" s="127"/>
      <c r="S85" s="127"/>
    </row>
    <row r="86" spans="1:19" s="163" customFormat="1" ht="12" customHeight="1">
      <c r="A86" s="136"/>
      <c r="B86" s="132"/>
      <c r="C86" s="137"/>
      <c r="D86" s="137"/>
      <c r="E86" s="137"/>
      <c r="F86" s="137"/>
      <c r="G86" s="137"/>
      <c r="H86" s="138"/>
      <c r="I86" s="139"/>
      <c r="J86" s="139"/>
      <c r="L86" s="135"/>
      <c r="M86" s="135"/>
      <c r="N86" s="135"/>
      <c r="O86" s="135"/>
      <c r="P86" s="130"/>
      <c r="Q86" s="127"/>
      <c r="R86" s="127"/>
      <c r="S86" s="127"/>
    </row>
    <row r="87" spans="1:19" s="163" customFormat="1" ht="12" customHeight="1">
      <c r="A87" s="136"/>
      <c r="B87" s="132"/>
      <c r="C87" s="137"/>
      <c r="D87" s="137"/>
      <c r="E87" s="137"/>
      <c r="F87" s="137"/>
      <c r="G87" s="137"/>
      <c r="H87" s="138"/>
      <c r="I87" s="139"/>
      <c r="J87" s="139"/>
      <c r="L87" s="135"/>
      <c r="M87" s="135"/>
      <c r="N87" s="135"/>
      <c r="O87" s="135"/>
      <c r="P87" s="130"/>
      <c r="Q87" s="127"/>
      <c r="R87" s="127"/>
      <c r="S87" s="127"/>
    </row>
    <row r="88" spans="1:19" s="163" customFormat="1" ht="12" customHeight="1">
      <c r="A88" s="136"/>
      <c r="B88" s="132"/>
      <c r="C88" s="137"/>
      <c r="D88" s="137"/>
      <c r="E88" s="137"/>
      <c r="F88" s="137"/>
      <c r="G88" s="137"/>
      <c r="H88" s="138"/>
      <c r="I88" s="139"/>
      <c r="J88" s="139"/>
      <c r="L88" s="135"/>
      <c r="M88" s="135"/>
      <c r="N88" s="135"/>
      <c r="O88" s="135"/>
      <c r="P88" s="130"/>
      <c r="Q88" s="127"/>
      <c r="R88" s="127"/>
      <c r="S88" s="127"/>
    </row>
    <row r="89" spans="1:19" s="163" customFormat="1" ht="12" customHeight="1">
      <c r="A89" s="136"/>
      <c r="B89" s="132"/>
      <c r="C89" s="137"/>
      <c r="D89" s="137"/>
      <c r="E89" s="137"/>
      <c r="F89" s="137"/>
      <c r="G89" s="137"/>
      <c r="H89" s="138"/>
      <c r="I89" s="139"/>
      <c r="J89" s="139"/>
      <c r="L89" s="135"/>
      <c r="M89" s="135"/>
      <c r="N89" s="135"/>
      <c r="O89" s="135"/>
      <c r="P89" s="130"/>
      <c r="Q89" s="127"/>
      <c r="R89" s="127"/>
      <c r="S89" s="127"/>
    </row>
    <row r="90" spans="1:19" s="163" customFormat="1" ht="12" customHeight="1">
      <c r="A90" s="136"/>
      <c r="B90" s="132"/>
      <c r="C90" s="137"/>
      <c r="D90" s="137"/>
      <c r="E90" s="137"/>
      <c r="F90" s="137"/>
      <c r="G90" s="137"/>
      <c r="H90" s="138"/>
      <c r="I90" s="139"/>
      <c r="J90" s="139"/>
      <c r="L90" s="135"/>
      <c r="M90" s="135"/>
      <c r="N90" s="135"/>
      <c r="O90" s="135"/>
      <c r="P90" s="130"/>
      <c r="Q90" s="127"/>
      <c r="R90" s="127"/>
      <c r="S90" s="127"/>
    </row>
    <row r="91" spans="1:19" s="163" customFormat="1" ht="12" customHeight="1">
      <c r="A91" s="136"/>
      <c r="B91" s="132"/>
      <c r="C91" s="137"/>
      <c r="D91" s="137"/>
      <c r="E91" s="137"/>
      <c r="F91" s="137"/>
      <c r="G91" s="137"/>
      <c r="H91" s="138"/>
      <c r="I91" s="139"/>
      <c r="J91" s="139"/>
      <c r="L91" s="135"/>
      <c r="M91" s="135"/>
      <c r="N91" s="135"/>
      <c r="O91" s="135"/>
      <c r="P91" s="130"/>
      <c r="Q91" s="127"/>
      <c r="R91" s="127"/>
      <c r="S91" s="127"/>
    </row>
    <row r="92" spans="1:19" s="163" customFormat="1" ht="12" customHeight="1">
      <c r="A92" s="136"/>
      <c r="B92" s="132"/>
      <c r="C92" s="137"/>
      <c r="D92" s="137"/>
      <c r="E92" s="137"/>
      <c r="F92" s="137"/>
      <c r="G92" s="137"/>
      <c r="H92" s="138"/>
      <c r="I92" s="139"/>
      <c r="J92" s="139"/>
      <c r="L92" s="135"/>
      <c r="M92" s="135"/>
      <c r="N92" s="135"/>
      <c r="O92" s="135"/>
      <c r="P92" s="130"/>
      <c r="Q92" s="127"/>
      <c r="R92" s="127"/>
      <c r="S92" s="127"/>
    </row>
    <row r="93" spans="1:19" s="163" customFormat="1" ht="12" customHeight="1">
      <c r="A93" s="136"/>
      <c r="B93" s="132"/>
      <c r="C93" s="137"/>
      <c r="D93" s="137"/>
      <c r="E93" s="137"/>
      <c r="F93" s="137"/>
      <c r="G93" s="137"/>
      <c r="H93" s="138"/>
      <c r="I93" s="139"/>
      <c r="J93" s="139"/>
      <c r="L93" s="135"/>
      <c r="M93" s="135"/>
      <c r="N93" s="135"/>
      <c r="O93" s="135"/>
      <c r="P93" s="130"/>
      <c r="Q93" s="127"/>
      <c r="R93" s="127"/>
      <c r="S93" s="127"/>
    </row>
    <row r="94" spans="1:19" s="163" customFormat="1" ht="12" customHeight="1">
      <c r="A94" s="136"/>
      <c r="B94" s="132"/>
      <c r="C94" s="137"/>
      <c r="D94" s="137"/>
      <c r="E94" s="137"/>
      <c r="F94" s="137"/>
      <c r="G94" s="137"/>
      <c r="H94" s="138"/>
      <c r="I94" s="139"/>
      <c r="J94" s="139"/>
      <c r="L94" s="135"/>
      <c r="M94" s="135"/>
      <c r="N94" s="135"/>
      <c r="O94" s="135"/>
      <c r="P94" s="130"/>
      <c r="Q94" s="127"/>
      <c r="R94" s="127"/>
      <c r="S94" s="127"/>
    </row>
    <row r="95" spans="1:19" s="163" customFormat="1" ht="12" customHeight="1">
      <c r="A95" s="136"/>
      <c r="B95" s="132"/>
      <c r="C95" s="137"/>
      <c r="D95" s="137"/>
      <c r="E95" s="137"/>
      <c r="F95" s="137"/>
      <c r="G95" s="137"/>
      <c r="H95" s="138"/>
      <c r="I95" s="139"/>
      <c r="J95" s="139"/>
      <c r="L95" s="135"/>
      <c r="M95" s="135"/>
      <c r="N95" s="135"/>
      <c r="O95" s="135"/>
      <c r="P95" s="130"/>
      <c r="Q95" s="127"/>
      <c r="R95" s="127"/>
      <c r="S95" s="127"/>
    </row>
    <row r="96" spans="1:19" s="163" customFormat="1" ht="12" customHeight="1">
      <c r="A96" s="136"/>
      <c r="B96" s="132"/>
      <c r="C96" s="137"/>
      <c r="D96" s="137"/>
      <c r="E96" s="137"/>
      <c r="F96" s="137"/>
      <c r="G96" s="137"/>
      <c r="H96" s="138"/>
      <c r="I96" s="139"/>
      <c r="J96" s="139"/>
      <c r="L96" s="135"/>
      <c r="M96" s="135"/>
      <c r="N96" s="135"/>
      <c r="O96" s="135"/>
      <c r="P96" s="130"/>
      <c r="Q96" s="127"/>
      <c r="R96" s="127"/>
      <c r="S96" s="127"/>
    </row>
    <row r="97" spans="1:19" s="163" customFormat="1" ht="12" customHeight="1">
      <c r="A97" s="136"/>
      <c r="B97" s="132"/>
      <c r="C97" s="137"/>
      <c r="D97" s="137"/>
      <c r="E97" s="137"/>
      <c r="F97" s="137"/>
      <c r="G97" s="137"/>
      <c r="H97" s="138"/>
      <c r="I97" s="139"/>
      <c r="J97" s="139"/>
      <c r="L97" s="135"/>
      <c r="M97" s="135"/>
      <c r="N97" s="135"/>
      <c r="O97" s="135"/>
      <c r="P97" s="130"/>
      <c r="Q97" s="127"/>
      <c r="R97" s="127"/>
      <c r="S97" s="127"/>
    </row>
    <row r="98" spans="1:19" s="163" customFormat="1" ht="12" customHeight="1">
      <c r="A98" s="136"/>
      <c r="B98" s="132"/>
      <c r="C98" s="137"/>
      <c r="D98" s="137"/>
      <c r="E98" s="137"/>
      <c r="F98" s="137"/>
      <c r="G98" s="137"/>
      <c r="H98" s="138"/>
      <c r="I98" s="139"/>
      <c r="J98" s="139"/>
      <c r="L98" s="135"/>
      <c r="M98" s="135"/>
      <c r="N98" s="135"/>
      <c r="O98" s="135"/>
      <c r="P98" s="130"/>
      <c r="Q98" s="127"/>
      <c r="R98" s="127"/>
      <c r="S98" s="127"/>
    </row>
    <row r="99" spans="1:19" s="163" customFormat="1" ht="12" customHeight="1">
      <c r="A99" s="136"/>
      <c r="B99" s="132"/>
      <c r="C99" s="137"/>
      <c r="D99" s="137"/>
      <c r="E99" s="137"/>
      <c r="F99" s="137"/>
      <c r="G99" s="137"/>
      <c r="H99" s="138"/>
      <c r="I99" s="139"/>
      <c r="J99" s="139"/>
      <c r="L99" s="135"/>
      <c r="M99" s="135"/>
      <c r="N99" s="135"/>
      <c r="O99" s="135"/>
      <c r="P99" s="130"/>
      <c r="Q99" s="127"/>
      <c r="R99" s="127"/>
      <c r="S99" s="127"/>
    </row>
    <row r="100" spans="1:19" s="163" customFormat="1" ht="12" customHeight="1">
      <c r="A100" s="136"/>
      <c r="B100" s="132"/>
      <c r="C100" s="137"/>
      <c r="D100" s="137"/>
      <c r="E100" s="137"/>
      <c r="F100" s="137"/>
      <c r="G100" s="137"/>
      <c r="H100" s="138"/>
      <c r="I100" s="139"/>
      <c r="J100" s="139"/>
      <c r="L100" s="135"/>
      <c r="M100" s="135"/>
      <c r="N100" s="135"/>
      <c r="O100" s="135"/>
      <c r="P100" s="130"/>
      <c r="Q100" s="127"/>
      <c r="R100" s="127"/>
      <c r="S100" s="127"/>
    </row>
    <row r="101" spans="1:19" s="163" customFormat="1" ht="12" customHeight="1">
      <c r="A101" s="136"/>
      <c r="B101" s="132"/>
      <c r="C101" s="137"/>
      <c r="D101" s="137"/>
      <c r="E101" s="137"/>
      <c r="F101" s="137"/>
      <c r="G101" s="137"/>
      <c r="H101" s="138"/>
      <c r="I101" s="139"/>
      <c r="J101" s="139"/>
      <c r="L101" s="135"/>
      <c r="M101" s="135"/>
      <c r="N101" s="135"/>
      <c r="O101" s="135"/>
      <c r="P101" s="130"/>
      <c r="Q101" s="127"/>
      <c r="R101" s="127"/>
      <c r="S101" s="127"/>
    </row>
    <row r="102" spans="1:19" s="163" customFormat="1" ht="12" customHeight="1">
      <c r="A102" s="136"/>
      <c r="B102" s="132"/>
      <c r="C102" s="137"/>
      <c r="D102" s="137"/>
      <c r="E102" s="137"/>
      <c r="F102" s="137"/>
      <c r="G102" s="137"/>
      <c r="H102" s="138"/>
      <c r="I102" s="139"/>
      <c r="J102" s="139"/>
      <c r="L102" s="135"/>
      <c r="M102" s="135"/>
      <c r="N102" s="135"/>
      <c r="O102" s="135"/>
      <c r="P102" s="130"/>
      <c r="Q102" s="127"/>
      <c r="R102" s="127"/>
      <c r="S102" s="127"/>
    </row>
    <row r="103" spans="1:19" s="163" customFormat="1" ht="12" customHeight="1">
      <c r="A103" s="136"/>
      <c r="B103" s="132"/>
      <c r="C103" s="137"/>
      <c r="D103" s="137"/>
      <c r="E103" s="137"/>
      <c r="F103" s="137"/>
      <c r="G103" s="137"/>
      <c r="H103" s="138"/>
      <c r="I103" s="139"/>
      <c r="J103" s="139"/>
      <c r="L103" s="135"/>
      <c r="M103" s="135"/>
      <c r="N103" s="135"/>
      <c r="O103" s="135"/>
      <c r="P103" s="130"/>
      <c r="Q103" s="127"/>
      <c r="R103" s="127"/>
      <c r="S103" s="127"/>
    </row>
    <row r="104" spans="1:19" s="163" customFormat="1" ht="12" customHeight="1">
      <c r="A104" s="136"/>
      <c r="B104" s="132"/>
      <c r="C104" s="137"/>
      <c r="D104" s="137"/>
      <c r="E104" s="137"/>
      <c r="F104" s="137"/>
      <c r="G104" s="137"/>
      <c r="H104" s="138"/>
      <c r="I104" s="139"/>
      <c r="J104" s="139"/>
      <c r="L104" s="135"/>
      <c r="M104" s="135"/>
      <c r="N104" s="135"/>
      <c r="O104" s="135"/>
      <c r="P104" s="130"/>
      <c r="Q104" s="127"/>
      <c r="R104" s="127"/>
      <c r="S104" s="127"/>
    </row>
    <row r="105" spans="1:19" s="163" customFormat="1" ht="12" customHeight="1">
      <c r="A105" s="136"/>
      <c r="B105" s="132"/>
      <c r="C105" s="137"/>
      <c r="D105" s="137"/>
      <c r="E105" s="137"/>
      <c r="F105" s="137"/>
      <c r="G105" s="137"/>
      <c r="H105" s="138"/>
      <c r="I105" s="139"/>
      <c r="J105" s="139"/>
      <c r="L105" s="135"/>
      <c r="M105" s="135"/>
      <c r="N105" s="135"/>
      <c r="O105" s="135"/>
      <c r="P105" s="130"/>
      <c r="Q105" s="127"/>
      <c r="R105" s="127"/>
      <c r="S105" s="127"/>
    </row>
    <row r="106" spans="1:19" s="163" customFormat="1" ht="12" customHeight="1">
      <c r="A106" s="136"/>
      <c r="B106" s="132"/>
      <c r="C106" s="137"/>
      <c r="D106" s="137"/>
      <c r="E106" s="137"/>
      <c r="F106" s="137"/>
      <c r="G106" s="137"/>
      <c r="H106" s="138"/>
      <c r="I106" s="139"/>
      <c r="J106" s="139"/>
      <c r="L106" s="135"/>
      <c r="M106" s="135"/>
      <c r="N106" s="135"/>
      <c r="O106" s="135"/>
      <c r="P106" s="130"/>
      <c r="Q106" s="127"/>
      <c r="R106" s="127"/>
      <c r="S106" s="127"/>
    </row>
    <row r="107" spans="1:19" s="163" customFormat="1" ht="12" customHeight="1">
      <c r="A107" s="136"/>
      <c r="B107" s="132"/>
      <c r="C107" s="137"/>
      <c r="D107" s="137"/>
      <c r="E107" s="137"/>
      <c r="F107" s="137"/>
      <c r="G107" s="137"/>
      <c r="H107" s="138"/>
      <c r="I107" s="139"/>
      <c r="J107" s="139"/>
      <c r="L107" s="135"/>
      <c r="M107" s="135"/>
      <c r="N107" s="135"/>
      <c r="O107" s="135"/>
      <c r="P107" s="130"/>
      <c r="Q107" s="127"/>
      <c r="R107" s="127"/>
      <c r="S107" s="127"/>
    </row>
    <row r="108" spans="1:19" s="163" customFormat="1" ht="12" customHeight="1">
      <c r="A108" s="136"/>
      <c r="B108" s="132"/>
      <c r="C108" s="137"/>
      <c r="D108" s="137"/>
      <c r="E108" s="137"/>
      <c r="F108" s="137"/>
      <c r="G108" s="137"/>
      <c r="H108" s="138"/>
      <c r="I108" s="139"/>
      <c r="J108" s="139"/>
      <c r="L108" s="135"/>
      <c r="M108" s="135"/>
      <c r="N108" s="135"/>
      <c r="O108" s="135"/>
      <c r="P108" s="130"/>
      <c r="Q108" s="127"/>
      <c r="R108" s="127"/>
      <c r="S108" s="127"/>
    </row>
    <row r="109" spans="1:19" s="163" customFormat="1" ht="12" customHeight="1">
      <c r="A109" s="136"/>
      <c r="B109" s="132"/>
      <c r="C109" s="137"/>
      <c r="D109" s="137"/>
      <c r="E109" s="137"/>
      <c r="F109" s="137"/>
      <c r="G109" s="137"/>
      <c r="H109" s="138"/>
      <c r="I109" s="139"/>
      <c r="J109" s="139"/>
      <c r="L109" s="135"/>
      <c r="M109" s="135"/>
      <c r="N109" s="135"/>
      <c r="O109" s="135"/>
      <c r="P109" s="130"/>
      <c r="Q109" s="127"/>
      <c r="R109" s="127"/>
      <c r="S109" s="127"/>
    </row>
    <row r="110" spans="1:19" s="163" customFormat="1" ht="12" customHeight="1">
      <c r="A110" s="136"/>
      <c r="B110" s="132"/>
      <c r="C110" s="137"/>
      <c r="D110" s="137"/>
      <c r="E110" s="137"/>
      <c r="F110" s="137"/>
      <c r="G110" s="137"/>
      <c r="H110" s="138"/>
      <c r="I110" s="139"/>
      <c r="J110" s="139"/>
      <c r="L110" s="135"/>
      <c r="M110" s="135"/>
      <c r="N110" s="135"/>
      <c r="O110" s="135"/>
      <c r="P110" s="130"/>
      <c r="Q110" s="127"/>
      <c r="R110" s="127"/>
      <c r="S110" s="127"/>
    </row>
    <row r="111" spans="1:19" s="163" customFormat="1" ht="12" customHeight="1">
      <c r="A111" s="136"/>
      <c r="B111" s="132"/>
      <c r="C111" s="137"/>
      <c r="D111" s="137"/>
      <c r="E111" s="137"/>
      <c r="F111" s="137"/>
      <c r="G111" s="137"/>
      <c r="H111" s="138"/>
      <c r="I111" s="139"/>
      <c r="J111" s="139"/>
      <c r="L111" s="135"/>
      <c r="M111" s="135"/>
      <c r="N111" s="135"/>
      <c r="O111" s="135"/>
      <c r="P111" s="130"/>
      <c r="Q111" s="127"/>
      <c r="R111" s="127"/>
      <c r="S111" s="127"/>
    </row>
    <row r="112" spans="1:19" s="163" customFormat="1" ht="12" customHeight="1">
      <c r="A112" s="136"/>
      <c r="B112" s="132"/>
      <c r="C112" s="137"/>
      <c r="D112" s="137"/>
      <c r="E112" s="137"/>
      <c r="F112" s="137"/>
      <c r="G112" s="137"/>
      <c r="H112" s="138"/>
      <c r="I112" s="139"/>
      <c r="J112" s="139"/>
      <c r="L112" s="135"/>
      <c r="M112" s="135"/>
      <c r="N112" s="135"/>
      <c r="O112" s="135"/>
      <c r="P112" s="130"/>
      <c r="Q112" s="127"/>
      <c r="R112" s="127"/>
      <c r="S112" s="127"/>
    </row>
    <row r="113" spans="1:19" s="163" customFormat="1" ht="12" customHeight="1">
      <c r="A113" s="136"/>
      <c r="B113" s="132"/>
      <c r="C113" s="137"/>
      <c r="D113" s="137"/>
      <c r="E113" s="137"/>
      <c r="F113" s="137"/>
      <c r="G113" s="137"/>
      <c r="H113" s="138"/>
      <c r="I113" s="139"/>
      <c r="J113" s="139"/>
      <c r="L113" s="135"/>
      <c r="M113" s="135"/>
      <c r="N113" s="135"/>
      <c r="O113" s="135"/>
      <c r="P113" s="130"/>
      <c r="Q113" s="127"/>
      <c r="R113" s="127"/>
      <c r="S113" s="127"/>
    </row>
    <row r="114" spans="1:19" s="163" customFormat="1" ht="12" customHeight="1">
      <c r="A114" s="136"/>
      <c r="B114" s="132"/>
      <c r="C114" s="137"/>
      <c r="D114" s="137"/>
      <c r="E114" s="137"/>
      <c r="F114" s="137"/>
      <c r="G114" s="137"/>
      <c r="H114" s="138"/>
      <c r="I114" s="139"/>
      <c r="J114" s="139"/>
      <c r="L114" s="135"/>
      <c r="M114" s="135"/>
      <c r="N114" s="135"/>
      <c r="O114" s="135"/>
      <c r="P114" s="130"/>
      <c r="Q114" s="127"/>
      <c r="R114" s="127"/>
      <c r="S114" s="127"/>
    </row>
    <row r="115" spans="1:19" s="163" customFormat="1" ht="12" customHeight="1">
      <c r="A115" s="136"/>
      <c r="B115" s="132"/>
      <c r="C115" s="137"/>
      <c r="D115" s="137"/>
      <c r="E115" s="137"/>
      <c r="F115" s="137"/>
      <c r="G115" s="137"/>
      <c r="H115" s="138"/>
      <c r="I115" s="139"/>
      <c r="J115" s="139"/>
      <c r="L115" s="135"/>
      <c r="M115" s="135"/>
      <c r="N115" s="135"/>
      <c r="O115" s="135"/>
      <c r="P115" s="130"/>
      <c r="Q115" s="127"/>
      <c r="R115" s="127"/>
      <c r="S115" s="127"/>
    </row>
    <row r="116" spans="1:19" s="163" customFormat="1" ht="12" customHeight="1">
      <c r="A116" s="136"/>
      <c r="B116" s="132"/>
      <c r="C116" s="137"/>
      <c r="D116" s="137"/>
      <c r="E116" s="137"/>
      <c r="F116" s="137"/>
      <c r="G116" s="137"/>
      <c r="H116" s="138"/>
      <c r="I116" s="139"/>
      <c r="J116" s="139"/>
      <c r="L116" s="135"/>
      <c r="M116" s="135"/>
      <c r="N116" s="135"/>
      <c r="O116" s="135"/>
      <c r="P116" s="130"/>
      <c r="Q116" s="127"/>
      <c r="R116" s="127"/>
      <c r="S116" s="127"/>
    </row>
    <row r="117" spans="1:19" s="163" customFormat="1" ht="12" customHeight="1">
      <c r="A117" s="136"/>
      <c r="B117" s="132"/>
      <c r="C117" s="137"/>
      <c r="D117" s="137"/>
      <c r="E117" s="137"/>
      <c r="F117" s="137"/>
      <c r="G117" s="137"/>
      <c r="H117" s="138"/>
      <c r="I117" s="139"/>
      <c r="J117" s="139"/>
      <c r="L117" s="135"/>
      <c r="M117" s="135"/>
      <c r="N117" s="135"/>
      <c r="O117" s="135"/>
      <c r="P117" s="130"/>
      <c r="Q117" s="127"/>
      <c r="R117" s="127"/>
      <c r="S117" s="127"/>
    </row>
    <row r="118" spans="1:19" s="163" customFormat="1" ht="12" customHeight="1">
      <c r="A118" s="136"/>
      <c r="B118" s="132"/>
      <c r="C118" s="137"/>
      <c r="D118" s="137"/>
      <c r="E118" s="137"/>
      <c r="F118" s="137"/>
      <c r="G118" s="137"/>
      <c r="H118" s="138"/>
      <c r="I118" s="139"/>
      <c r="J118" s="139"/>
      <c r="L118" s="135"/>
      <c r="M118" s="135"/>
      <c r="N118" s="135"/>
      <c r="O118" s="135"/>
      <c r="P118" s="130"/>
      <c r="Q118" s="127"/>
      <c r="R118" s="127"/>
      <c r="S118" s="127"/>
    </row>
    <row r="119" spans="1:19" s="163" customFormat="1" ht="12" customHeight="1">
      <c r="A119" s="136"/>
      <c r="B119" s="132"/>
      <c r="C119" s="137"/>
      <c r="D119" s="137"/>
      <c r="E119" s="137"/>
      <c r="F119" s="137"/>
      <c r="G119" s="137"/>
      <c r="H119" s="138"/>
      <c r="I119" s="139"/>
      <c r="J119" s="139"/>
      <c r="L119" s="135"/>
      <c r="M119" s="135"/>
      <c r="N119" s="135"/>
      <c r="O119" s="135"/>
      <c r="P119" s="130"/>
      <c r="Q119" s="127"/>
      <c r="R119" s="127"/>
      <c r="S119" s="127"/>
    </row>
    <row r="120" spans="1:19" s="163" customFormat="1" ht="12" customHeight="1">
      <c r="A120" s="136"/>
      <c r="B120" s="132"/>
      <c r="C120" s="137"/>
      <c r="D120" s="137"/>
      <c r="E120" s="137"/>
      <c r="F120" s="137"/>
      <c r="G120" s="137"/>
      <c r="H120" s="138"/>
      <c r="I120" s="139"/>
      <c r="J120" s="139"/>
      <c r="L120" s="135"/>
      <c r="M120" s="135"/>
      <c r="N120" s="135"/>
      <c r="O120" s="135"/>
      <c r="P120" s="130"/>
      <c r="Q120" s="127"/>
      <c r="R120" s="127"/>
      <c r="S120" s="127"/>
    </row>
    <row r="121" spans="1:19" s="163" customFormat="1" ht="12" customHeight="1">
      <c r="A121" s="136"/>
      <c r="B121" s="132"/>
      <c r="C121" s="137"/>
      <c r="D121" s="137"/>
      <c r="E121" s="137"/>
      <c r="F121" s="137"/>
      <c r="G121" s="137"/>
      <c r="H121" s="138"/>
      <c r="I121" s="139"/>
      <c r="J121" s="139"/>
      <c r="L121" s="135"/>
      <c r="M121" s="135"/>
      <c r="N121" s="135"/>
      <c r="O121" s="135"/>
      <c r="P121" s="130"/>
      <c r="Q121" s="127"/>
      <c r="R121" s="127"/>
      <c r="S121" s="127"/>
    </row>
    <row r="122" spans="1:19" s="163" customFormat="1" ht="12" customHeight="1">
      <c r="A122" s="136"/>
      <c r="B122" s="132"/>
      <c r="C122" s="137"/>
      <c r="D122" s="137"/>
      <c r="E122" s="137"/>
      <c r="F122" s="137"/>
      <c r="G122" s="137"/>
      <c r="H122" s="138"/>
      <c r="I122" s="139"/>
      <c r="J122" s="139"/>
      <c r="L122" s="135"/>
      <c r="M122" s="135"/>
      <c r="N122" s="135"/>
      <c r="O122" s="135"/>
      <c r="P122" s="130"/>
      <c r="Q122" s="127"/>
      <c r="R122" s="127"/>
      <c r="S122" s="127"/>
    </row>
    <row r="123" spans="1:19" s="163" customFormat="1" ht="12" customHeight="1">
      <c r="A123" s="136"/>
      <c r="B123" s="132"/>
      <c r="C123" s="137"/>
      <c r="D123" s="137"/>
      <c r="E123" s="137"/>
      <c r="F123" s="137"/>
      <c r="G123" s="137"/>
      <c r="H123" s="138"/>
      <c r="I123" s="139"/>
      <c r="J123" s="139"/>
      <c r="L123" s="135"/>
      <c r="M123" s="135"/>
      <c r="N123" s="135"/>
      <c r="O123" s="135"/>
      <c r="P123" s="130"/>
      <c r="Q123" s="127"/>
      <c r="R123" s="127"/>
      <c r="S123" s="127"/>
    </row>
    <row r="124" spans="1:19" s="163" customFormat="1" ht="12" customHeight="1">
      <c r="A124" s="136"/>
      <c r="B124" s="132"/>
      <c r="C124" s="137"/>
      <c r="D124" s="137"/>
      <c r="E124" s="137"/>
      <c r="F124" s="137"/>
      <c r="G124" s="137"/>
      <c r="H124" s="138"/>
      <c r="I124" s="139"/>
      <c r="J124" s="139"/>
      <c r="L124" s="135"/>
      <c r="M124" s="135"/>
      <c r="N124" s="135"/>
      <c r="O124" s="135"/>
      <c r="P124" s="130"/>
      <c r="Q124" s="127"/>
      <c r="R124" s="127"/>
      <c r="S124" s="127"/>
    </row>
  </sheetData>
  <mergeCells count="20">
    <mergeCell ref="M4:M5"/>
    <mergeCell ref="F4:H4"/>
    <mergeCell ref="I4:K4"/>
    <mergeCell ref="A4:A5"/>
    <mergeCell ref="R4:R5"/>
    <mergeCell ref="S4:S5"/>
    <mergeCell ref="B16:M16"/>
    <mergeCell ref="B12:H12"/>
    <mergeCell ref="B9:O9"/>
    <mergeCell ref="P4:P5"/>
    <mergeCell ref="Q4:Q5"/>
    <mergeCell ref="O4:O5"/>
    <mergeCell ref="E4:E5"/>
    <mergeCell ref="B4:B5"/>
    <mergeCell ref="N4:N5"/>
    <mergeCell ref="C4:C5"/>
    <mergeCell ref="D4:D5"/>
    <mergeCell ref="L4:L5"/>
    <mergeCell ref="A7:Q7"/>
    <mergeCell ref="A8:Q8"/>
  </mergeCells>
  <phoneticPr fontId="2" type="noConversion"/>
  <pageMargins left="0.74803149606299213" right="0.74803149606299213" top="0.6" bottom="0.6" header="0.51181102362204722" footer="0.51181102362204722"/>
  <pageSetup paperSize="9" scale="61" fitToHeight="3" orientation="landscape" r:id="rId1"/>
  <headerFooter alignWithMargins="0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T124"/>
  <sheetViews>
    <sheetView view="pageBreakPreview" zoomScale="85" zoomScaleNormal="85" zoomScaleSheetLayoutView="85" workbookViewId="0">
      <pane xSplit="3" topLeftCell="D1" activePane="topRight" state="frozen"/>
      <selection activeCell="J9" sqref="J9"/>
      <selection pane="topRight" activeCell="I15" sqref="I15"/>
    </sheetView>
  </sheetViews>
  <sheetFormatPr defaultRowHeight="12" customHeight="1"/>
  <cols>
    <col min="1" max="1" width="3.77734375" style="136" customWidth="1"/>
    <col min="2" max="2" width="25.21875" style="132" customWidth="1"/>
    <col min="3" max="3" width="28.33203125" style="132" customWidth="1"/>
    <col min="4" max="4" width="12.44140625" style="132" customWidth="1"/>
    <col min="5" max="5" width="9.6640625" style="132" bestFit="1" customWidth="1"/>
    <col min="6" max="7" width="10.33203125" style="132" bestFit="1" customWidth="1"/>
    <col min="8" max="8" width="9.6640625" style="133" bestFit="1" customWidth="1"/>
    <col min="9" max="9" width="10.33203125" style="140" bestFit="1" customWidth="1"/>
    <col min="10" max="10" width="10.109375" style="140" bestFit="1" customWidth="1"/>
    <col min="11" max="11" width="9.5546875" style="163" customWidth="1"/>
    <col min="12" max="12" width="8.44140625" style="135" bestFit="1" customWidth="1"/>
    <col min="13" max="13" width="8.44140625" style="135" customWidth="1"/>
    <col min="14" max="14" width="7.88671875" style="135" customWidth="1"/>
    <col min="15" max="15" width="6.33203125" style="135" customWidth="1"/>
    <col min="16" max="16" width="5.77734375" style="130" customWidth="1"/>
    <col min="17" max="17" width="5.33203125" style="127" customWidth="1"/>
    <col min="18" max="16384" width="8.88671875" style="127"/>
  </cols>
  <sheetData>
    <row r="1" spans="1:20" s="124" customFormat="1" ht="50.25" customHeight="1">
      <c r="A1" s="320"/>
      <c r="B1" s="515" t="s">
        <v>625</v>
      </c>
      <c r="C1" s="325" t="s">
        <v>684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s="123" customFormat="1" ht="9" customHeight="1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  <row r="9" spans="1:20" s="195" customFormat="1" ht="19.5" customHeight="1">
      <c r="A9" s="193" t="s">
        <v>48</v>
      </c>
      <c r="B9" s="989" t="s">
        <v>49</v>
      </c>
      <c r="C9" s="989"/>
      <c r="D9" s="989"/>
      <c r="E9" s="989"/>
      <c r="F9" s="989"/>
      <c r="G9" s="989"/>
      <c r="H9" s="989"/>
      <c r="I9" s="989"/>
      <c r="J9" s="989"/>
      <c r="K9" s="989"/>
      <c r="L9" s="989"/>
      <c r="M9" s="989"/>
      <c r="N9" s="989"/>
      <c r="O9" s="989"/>
      <c r="P9" s="194"/>
    </row>
    <row r="10" spans="1:20" s="160" customFormat="1" ht="18.75" customHeight="1">
      <c r="A10" s="248">
        <v>1</v>
      </c>
      <c r="B10" s="159" t="s">
        <v>58</v>
      </c>
      <c r="C10" s="159"/>
      <c r="D10" s="159"/>
      <c r="E10" s="159"/>
      <c r="F10" s="159"/>
      <c r="G10" s="159"/>
      <c r="K10" s="322"/>
      <c r="L10" s="161"/>
      <c r="M10" s="161"/>
      <c r="N10" s="161"/>
      <c r="O10" s="161"/>
    </row>
    <row r="11" spans="1:20" s="158" customFormat="1" ht="18.75" customHeight="1">
      <c r="A11" s="248">
        <v>2</v>
      </c>
      <c r="B11" s="159" t="s">
        <v>60</v>
      </c>
      <c r="C11" s="159"/>
      <c r="D11" s="159"/>
      <c r="E11" s="159"/>
      <c r="F11" s="162"/>
      <c r="G11" s="162"/>
      <c r="H11" s="162"/>
      <c r="I11" s="162"/>
      <c r="J11" s="162"/>
      <c r="K11" s="160"/>
    </row>
    <row r="12" spans="1:20" s="158" customFormat="1" ht="42.75" customHeight="1">
      <c r="A12" s="248">
        <v>3</v>
      </c>
      <c r="B12" s="990" t="s">
        <v>280</v>
      </c>
      <c r="C12" s="990"/>
      <c r="D12" s="990"/>
      <c r="E12" s="990"/>
      <c r="F12" s="990"/>
      <c r="G12" s="990"/>
      <c r="H12" s="990"/>
      <c r="I12" s="162"/>
      <c r="J12" s="162"/>
      <c r="K12" s="160"/>
    </row>
    <row r="13" spans="1:20" s="158" customFormat="1" ht="18.75" customHeight="1">
      <c r="A13" s="248">
        <v>4</v>
      </c>
      <c r="B13" s="158" t="s">
        <v>286</v>
      </c>
      <c r="C13" s="159"/>
      <c r="D13" s="159"/>
      <c r="E13" s="159"/>
      <c r="F13" s="162"/>
      <c r="G13" s="162"/>
      <c r="H13" s="162"/>
      <c r="I13" s="162"/>
      <c r="J13" s="162"/>
      <c r="K13" s="160"/>
    </row>
    <row r="14" spans="1:20" s="158" customFormat="1" ht="18.75" customHeight="1">
      <c r="A14" s="248">
        <v>5</v>
      </c>
      <c r="B14" s="159" t="s">
        <v>50</v>
      </c>
      <c r="C14" s="159"/>
      <c r="D14" s="159"/>
      <c r="E14" s="159"/>
      <c r="F14" s="162"/>
      <c r="G14" s="162"/>
      <c r="H14" s="162"/>
      <c r="I14" s="162"/>
      <c r="J14" s="162"/>
      <c r="K14" s="160"/>
    </row>
    <row r="15" spans="1:20" s="158" customFormat="1" ht="18.75" customHeight="1">
      <c r="A15" s="248">
        <v>6</v>
      </c>
      <c r="B15" s="159" t="s">
        <v>281</v>
      </c>
      <c r="C15" s="159"/>
      <c r="D15" s="159"/>
      <c r="E15" s="159"/>
      <c r="F15" s="159"/>
      <c r="G15" s="159"/>
      <c r="H15" s="160"/>
      <c r="I15" s="162"/>
      <c r="J15" s="162"/>
      <c r="K15" s="160"/>
    </row>
    <row r="16" spans="1:20" s="160" customFormat="1" ht="55.5" customHeight="1">
      <c r="A16" s="248">
        <v>7</v>
      </c>
      <c r="B16" s="991" t="s">
        <v>399</v>
      </c>
      <c r="C16" s="991"/>
      <c r="D16" s="991"/>
      <c r="E16" s="991"/>
      <c r="F16" s="991"/>
      <c r="G16" s="991"/>
      <c r="H16" s="991"/>
      <c r="I16" s="991"/>
      <c r="J16" s="991"/>
      <c r="K16" s="991"/>
      <c r="L16" s="991"/>
      <c r="M16" s="991"/>
      <c r="N16" s="161"/>
      <c r="O16" s="161"/>
    </row>
    <row r="17" spans="1:16" s="160" customFormat="1" ht="18.75" customHeight="1">
      <c r="A17" s="248">
        <v>8</v>
      </c>
      <c r="B17" s="159" t="s">
        <v>398</v>
      </c>
      <c r="C17" s="159"/>
      <c r="D17" s="159"/>
      <c r="E17" s="159"/>
      <c r="F17" s="159"/>
      <c r="G17" s="159"/>
      <c r="K17" s="322"/>
      <c r="L17" s="161"/>
      <c r="M17" s="161"/>
      <c r="N17" s="161"/>
      <c r="O17" s="161"/>
    </row>
    <row r="18" spans="1:16" s="160" customFormat="1" ht="18.75" customHeight="1">
      <c r="A18" s="248">
        <v>9</v>
      </c>
      <c r="B18" s="165" t="s">
        <v>61</v>
      </c>
      <c r="C18" s="165"/>
      <c r="D18" s="165"/>
      <c r="E18" s="165"/>
      <c r="F18" s="159"/>
      <c r="G18" s="159"/>
      <c r="K18" s="322"/>
      <c r="L18" s="161"/>
      <c r="M18" s="161"/>
      <c r="N18" s="161"/>
      <c r="O18" s="161"/>
    </row>
    <row r="19" spans="1:16" s="160" customFormat="1" ht="15" customHeight="1">
      <c r="B19" s="165"/>
      <c r="C19" s="165"/>
      <c r="D19" s="165"/>
      <c r="E19" s="165"/>
      <c r="F19" s="159"/>
      <c r="G19" s="159"/>
      <c r="K19" s="322"/>
      <c r="L19" s="161"/>
      <c r="M19" s="161"/>
      <c r="N19" s="161"/>
      <c r="O19" s="161"/>
    </row>
    <row r="20" spans="1:16" s="160" customFormat="1" ht="15" customHeight="1">
      <c r="B20" s="165"/>
      <c r="C20" s="165"/>
      <c r="D20" s="165"/>
      <c r="E20" s="165"/>
      <c r="F20" s="159"/>
      <c r="G20" s="159"/>
      <c r="K20" s="322"/>
      <c r="L20" s="161"/>
      <c r="M20" s="161"/>
      <c r="N20" s="161"/>
      <c r="O20" s="161"/>
    </row>
    <row r="21" spans="1:16" s="195" customFormat="1" ht="15" customHeight="1">
      <c r="A21" s="159"/>
      <c r="B21" s="159"/>
      <c r="C21" s="159"/>
      <c r="D21" s="159"/>
      <c r="E21" s="159"/>
      <c r="F21" s="196"/>
      <c r="G21" s="196"/>
      <c r="H21" s="160"/>
      <c r="I21" s="160"/>
      <c r="J21" s="160"/>
      <c r="K21" s="209"/>
      <c r="L21" s="197"/>
      <c r="M21" s="197"/>
      <c r="N21" s="197"/>
      <c r="O21" s="197"/>
      <c r="P21" s="198"/>
    </row>
    <row r="22" spans="1:16" ht="15" customHeight="1">
      <c r="B22" s="145"/>
      <c r="C22" s="145"/>
      <c r="D22" s="145"/>
      <c r="E22" s="145"/>
      <c r="F22" s="137"/>
      <c r="G22" s="137"/>
      <c r="H22" s="138"/>
      <c r="I22" s="139"/>
      <c r="J22" s="139"/>
    </row>
    <row r="23" spans="1:16" ht="15" customHeight="1">
      <c r="C23" s="137"/>
      <c r="D23" s="137"/>
      <c r="E23" s="137"/>
      <c r="F23" s="137"/>
      <c r="G23" s="137"/>
      <c r="H23" s="138"/>
      <c r="I23" s="139"/>
      <c r="J23" s="139"/>
    </row>
    <row r="24" spans="1:16" ht="15" customHeight="1">
      <c r="C24" s="137"/>
      <c r="D24" s="137"/>
      <c r="E24" s="137"/>
      <c r="F24" s="137"/>
      <c r="G24" s="137"/>
      <c r="H24" s="138"/>
      <c r="I24" s="139"/>
      <c r="J24" s="139"/>
    </row>
    <row r="25" spans="1:16" ht="12" customHeight="1">
      <c r="C25" s="137"/>
      <c r="D25" s="137"/>
      <c r="E25" s="137"/>
      <c r="F25" s="137"/>
      <c r="G25" s="137"/>
      <c r="H25" s="138"/>
      <c r="I25" s="139"/>
      <c r="J25" s="139"/>
    </row>
    <row r="26" spans="1:16" ht="12" customHeight="1">
      <c r="C26" s="137"/>
      <c r="D26" s="137"/>
      <c r="E26" s="137"/>
      <c r="F26" s="137"/>
      <c r="G26" s="137"/>
      <c r="H26" s="138"/>
      <c r="I26" s="139"/>
      <c r="J26" s="139"/>
    </row>
    <row r="27" spans="1:16" ht="12" customHeight="1">
      <c r="C27" s="137"/>
      <c r="D27" s="137"/>
      <c r="E27" s="137"/>
      <c r="F27" s="137"/>
      <c r="G27" s="137"/>
      <c r="H27" s="138"/>
      <c r="I27" s="139"/>
      <c r="J27" s="139"/>
    </row>
    <row r="28" spans="1:16" ht="12" customHeight="1">
      <c r="C28" s="137"/>
      <c r="D28" s="137"/>
      <c r="E28" s="137"/>
      <c r="F28" s="137"/>
      <c r="G28" s="137"/>
      <c r="H28" s="138"/>
      <c r="I28" s="139"/>
      <c r="J28" s="139"/>
    </row>
    <row r="29" spans="1:16" ht="12" customHeight="1">
      <c r="C29" s="137"/>
      <c r="D29" s="137"/>
      <c r="E29" s="137"/>
      <c r="F29" s="137"/>
      <c r="G29" s="137"/>
      <c r="H29" s="138"/>
      <c r="I29" s="139"/>
      <c r="J29" s="139"/>
    </row>
    <row r="30" spans="1:16" ht="12" customHeight="1">
      <c r="C30" s="137"/>
      <c r="D30" s="137"/>
      <c r="E30" s="137"/>
      <c r="F30" s="137"/>
      <c r="G30" s="137"/>
      <c r="H30" s="138"/>
      <c r="I30" s="139"/>
      <c r="J30" s="139"/>
    </row>
    <row r="31" spans="1:16" ht="12" customHeight="1">
      <c r="C31" s="137"/>
      <c r="D31" s="137"/>
      <c r="E31" s="137"/>
      <c r="F31" s="137"/>
      <c r="G31" s="137"/>
      <c r="H31" s="138"/>
      <c r="I31" s="139"/>
      <c r="J31" s="139"/>
    </row>
    <row r="32" spans="1:16" ht="12" customHeight="1">
      <c r="C32" s="137"/>
      <c r="D32" s="137"/>
      <c r="E32" s="137"/>
      <c r="F32" s="137"/>
      <c r="G32" s="137"/>
      <c r="H32" s="138"/>
      <c r="I32" s="139"/>
      <c r="J32" s="139"/>
    </row>
    <row r="33" spans="1:19" ht="12" customHeight="1">
      <c r="C33" s="137"/>
      <c r="D33" s="137"/>
      <c r="E33" s="137"/>
      <c r="F33" s="137"/>
      <c r="G33" s="137"/>
      <c r="H33" s="138"/>
      <c r="I33" s="139"/>
      <c r="J33" s="139"/>
    </row>
    <row r="34" spans="1:19" s="163" customFormat="1" ht="12" customHeight="1">
      <c r="A34" s="136"/>
      <c r="B34" s="132"/>
      <c r="C34" s="137"/>
      <c r="D34" s="137"/>
      <c r="E34" s="137"/>
      <c r="F34" s="137"/>
      <c r="G34" s="137"/>
      <c r="H34" s="138"/>
      <c r="I34" s="139"/>
      <c r="J34" s="139"/>
      <c r="L34" s="135"/>
      <c r="M34" s="135"/>
      <c r="N34" s="135"/>
      <c r="O34" s="135"/>
      <c r="P34" s="130"/>
      <c r="Q34" s="127"/>
      <c r="R34" s="127"/>
      <c r="S34" s="127"/>
    </row>
    <row r="35" spans="1:19" s="163" customFormat="1" ht="12" customHeight="1">
      <c r="A35" s="136"/>
      <c r="B35" s="132"/>
      <c r="C35" s="137"/>
      <c r="D35" s="137"/>
      <c r="E35" s="137"/>
      <c r="F35" s="137"/>
      <c r="G35" s="137"/>
      <c r="H35" s="138"/>
      <c r="I35" s="139"/>
      <c r="J35" s="139"/>
      <c r="L35" s="135"/>
      <c r="M35" s="135"/>
      <c r="N35" s="135"/>
      <c r="O35" s="135"/>
      <c r="P35" s="130"/>
      <c r="Q35" s="127"/>
      <c r="R35" s="127"/>
      <c r="S35" s="127"/>
    </row>
    <row r="36" spans="1:19" s="163" customFormat="1" ht="12" customHeight="1">
      <c r="A36" s="136"/>
      <c r="B36" s="132"/>
      <c r="C36" s="137"/>
      <c r="D36" s="137"/>
      <c r="E36" s="137"/>
      <c r="F36" s="137"/>
      <c r="G36" s="137"/>
      <c r="H36" s="138"/>
      <c r="I36" s="139"/>
      <c r="J36" s="139"/>
      <c r="L36" s="135"/>
      <c r="M36" s="135"/>
      <c r="N36" s="135"/>
      <c r="O36" s="135"/>
      <c r="P36" s="130"/>
      <c r="Q36" s="127"/>
      <c r="R36" s="127"/>
      <c r="S36" s="127"/>
    </row>
    <row r="37" spans="1:19" s="163" customFormat="1" ht="12" customHeight="1">
      <c r="A37" s="136"/>
      <c r="B37" s="132"/>
      <c r="C37" s="137"/>
      <c r="D37" s="137"/>
      <c r="E37" s="137"/>
      <c r="F37" s="137"/>
      <c r="G37" s="137"/>
      <c r="H37" s="138"/>
      <c r="I37" s="139"/>
      <c r="J37" s="139"/>
      <c r="L37" s="135"/>
      <c r="M37" s="135"/>
      <c r="N37" s="135"/>
      <c r="O37" s="135"/>
      <c r="P37" s="130"/>
      <c r="Q37" s="127"/>
      <c r="R37" s="127"/>
      <c r="S37" s="127"/>
    </row>
    <row r="38" spans="1:19" s="163" customFormat="1" ht="12" customHeight="1">
      <c r="A38" s="136"/>
      <c r="B38" s="132"/>
      <c r="C38" s="137"/>
      <c r="D38" s="137"/>
      <c r="E38" s="137"/>
      <c r="F38" s="137"/>
      <c r="G38" s="137"/>
      <c r="H38" s="138"/>
      <c r="I38" s="139"/>
      <c r="J38" s="139"/>
      <c r="L38" s="135"/>
      <c r="M38" s="135"/>
      <c r="N38" s="135"/>
      <c r="O38" s="135"/>
      <c r="P38" s="130"/>
      <c r="Q38" s="127"/>
      <c r="R38" s="127"/>
      <c r="S38" s="127"/>
    </row>
    <row r="39" spans="1:19" s="163" customFormat="1" ht="12" customHeight="1">
      <c r="A39" s="136"/>
      <c r="B39" s="132"/>
      <c r="C39" s="137"/>
      <c r="D39" s="137"/>
      <c r="E39" s="137"/>
      <c r="F39" s="137"/>
      <c r="G39" s="137"/>
      <c r="H39" s="138"/>
      <c r="I39" s="139"/>
      <c r="J39" s="139"/>
      <c r="L39" s="135"/>
      <c r="M39" s="135"/>
      <c r="N39" s="135"/>
      <c r="O39" s="135"/>
      <c r="P39" s="130"/>
      <c r="Q39" s="127"/>
      <c r="R39" s="127"/>
      <c r="S39" s="127"/>
    </row>
    <row r="40" spans="1:19" s="163" customFormat="1" ht="12" customHeight="1">
      <c r="A40" s="136"/>
      <c r="B40" s="132"/>
      <c r="C40" s="137"/>
      <c r="D40" s="137"/>
      <c r="E40" s="137"/>
      <c r="F40" s="137"/>
      <c r="G40" s="137"/>
      <c r="H40" s="138"/>
      <c r="I40" s="139"/>
      <c r="J40" s="139"/>
      <c r="L40" s="135"/>
      <c r="M40" s="135"/>
      <c r="N40" s="135"/>
      <c r="O40" s="135"/>
      <c r="P40" s="130"/>
      <c r="Q40" s="127"/>
      <c r="R40" s="127"/>
      <c r="S40" s="127"/>
    </row>
    <row r="41" spans="1:19" s="163" customFormat="1" ht="12" customHeight="1">
      <c r="A41" s="136"/>
      <c r="B41" s="132"/>
      <c r="C41" s="137"/>
      <c r="D41" s="137"/>
      <c r="E41" s="137"/>
      <c r="F41" s="137"/>
      <c r="G41" s="137"/>
      <c r="H41" s="138"/>
      <c r="I41" s="139"/>
      <c r="J41" s="139"/>
      <c r="L41" s="135"/>
      <c r="M41" s="135"/>
      <c r="N41" s="135"/>
      <c r="O41" s="135"/>
      <c r="P41" s="130"/>
      <c r="Q41" s="127"/>
      <c r="R41" s="127"/>
      <c r="S41" s="127"/>
    </row>
    <row r="42" spans="1:19" s="163" customFormat="1" ht="12" customHeight="1">
      <c r="A42" s="136"/>
      <c r="B42" s="132"/>
      <c r="C42" s="137"/>
      <c r="D42" s="137"/>
      <c r="E42" s="137"/>
      <c r="F42" s="137"/>
      <c r="G42" s="137"/>
      <c r="H42" s="138"/>
      <c r="I42" s="139"/>
      <c r="J42" s="139"/>
      <c r="L42" s="135"/>
      <c r="M42" s="135"/>
      <c r="N42" s="135"/>
      <c r="O42" s="135"/>
      <c r="P42" s="130"/>
      <c r="Q42" s="127"/>
      <c r="R42" s="127"/>
      <c r="S42" s="127"/>
    </row>
    <row r="43" spans="1:19" s="163" customFormat="1" ht="12" customHeight="1">
      <c r="A43" s="136"/>
      <c r="B43" s="132"/>
      <c r="C43" s="137"/>
      <c r="D43" s="137"/>
      <c r="E43" s="137"/>
      <c r="F43" s="137"/>
      <c r="G43" s="137"/>
      <c r="H43" s="138"/>
      <c r="I43" s="139"/>
      <c r="J43" s="139"/>
      <c r="L43" s="135"/>
      <c r="M43" s="135"/>
      <c r="N43" s="135"/>
      <c r="O43" s="135"/>
      <c r="P43" s="130"/>
      <c r="Q43" s="127"/>
      <c r="R43" s="127"/>
      <c r="S43" s="127"/>
    </row>
    <row r="44" spans="1:19" s="163" customFormat="1" ht="12" customHeight="1">
      <c r="A44" s="136"/>
      <c r="B44" s="132"/>
      <c r="C44" s="137"/>
      <c r="D44" s="137"/>
      <c r="E44" s="137"/>
      <c r="F44" s="137"/>
      <c r="G44" s="137"/>
      <c r="H44" s="138"/>
      <c r="I44" s="139"/>
      <c r="J44" s="139"/>
      <c r="L44" s="135"/>
      <c r="M44" s="135"/>
      <c r="N44" s="135"/>
      <c r="O44" s="135"/>
      <c r="P44" s="130"/>
      <c r="Q44" s="127"/>
      <c r="R44" s="127"/>
      <c r="S44" s="127"/>
    </row>
    <row r="45" spans="1:19" s="163" customFormat="1" ht="12" customHeight="1">
      <c r="A45" s="136"/>
      <c r="B45" s="132"/>
      <c r="C45" s="137"/>
      <c r="D45" s="137"/>
      <c r="E45" s="137"/>
      <c r="F45" s="137"/>
      <c r="G45" s="137"/>
      <c r="H45" s="138"/>
      <c r="I45" s="139"/>
      <c r="J45" s="139"/>
      <c r="L45" s="135"/>
      <c r="M45" s="135"/>
      <c r="N45" s="135"/>
      <c r="O45" s="135"/>
      <c r="P45" s="130"/>
      <c r="Q45" s="127"/>
      <c r="R45" s="127"/>
      <c r="S45" s="127"/>
    </row>
    <row r="46" spans="1:19" s="163" customFormat="1" ht="12" customHeight="1">
      <c r="A46" s="136"/>
      <c r="B46" s="132"/>
      <c r="C46" s="137"/>
      <c r="D46" s="137"/>
      <c r="E46" s="137"/>
      <c r="F46" s="137"/>
      <c r="G46" s="137"/>
      <c r="H46" s="138"/>
      <c r="I46" s="139"/>
      <c r="J46" s="139"/>
      <c r="L46" s="135"/>
      <c r="M46" s="135"/>
      <c r="N46" s="135"/>
      <c r="O46" s="135"/>
      <c r="P46" s="130"/>
      <c r="Q46" s="127"/>
      <c r="R46" s="127"/>
      <c r="S46" s="127"/>
    </row>
    <row r="47" spans="1:19" s="163" customFormat="1" ht="12" customHeight="1">
      <c r="A47" s="136"/>
      <c r="B47" s="132"/>
      <c r="C47" s="137"/>
      <c r="D47" s="137"/>
      <c r="E47" s="137"/>
      <c r="F47" s="137"/>
      <c r="G47" s="137"/>
      <c r="H47" s="138"/>
      <c r="I47" s="139"/>
      <c r="J47" s="139"/>
      <c r="L47" s="135"/>
      <c r="M47" s="135"/>
      <c r="N47" s="135"/>
      <c r="O47" s="135"/>
      <c r="P47" s="130"/>
      <c r="Q47" s="127"/>
      <c r="R47" s="127"/>
      <c r="S47" s="127"/>
    </row>
    <row r="48" spans="1:19" s="163" customFormat="1" ht="12" customHeight="1">
      <c r="A48" s="136"/>
      <c r="B48" s="132"/>
      <c r="C48" s="137"/>
      <c r="D48" s="137"/>
      <c r="E48" s="137"/>
      <c r="F48" s="137"/>
      <c r="G48" s="137"/>
      <c r="H48" s="138"/>
      <c r="I48" s="139"/>
      <c r="J48" s="139"/>
      <c r="L48" s="135"/>
      <c r="M48" s="135"/>
      <c r="N48" s="135"/>
      <c r="O48" s="135"/>
      <c r="P48" s="130"/>
      <c r="Q48" s="127"/>
      <c r="R48" s="127"/>
      <c r="S48" s="127"/>
    </row>
    <row r="49" spans="1:19" s="163" customFormat="1" ht="12" customHeight="1">
      <c r="A49" s="136"/>
      <c r="B49" s="132"/>
      <c r="C49" s="137"/>
      <c r="D49" s="137"/>
      <c r="E49" s="137"/>
      <c r="F49" s="137"/>
      <c r="G49" s="137"/>
      <c r="H49" s="138"/>
      <c r="I49" s="139"/>
      <c r="J49" s="139"/>
      <c r="L49" s="135"/>
      <c r="M49" s="135"/>
      <c r="N49" s="135"/>
      <c r="O49" s="135"/>
      <c r="P49" s="130"/>
      <c r="Q49" s="127"/>
      <c r="R49" s="127"/>
      <c r="S49" s="127"/>
    </row>
    <row r="50" spans="1:19" s="163" customFormat="1" ht="12" customHeight="1">
      <c r="A50" s="136"/>
      <c r="B50" s="132"/>
      <c r="C50" s="137"/>
      <c r="D50" s="137"/>
      <c r="E50" s="137"/>
      <c r="F50" s="137"/>
      <c r="G50" s="137"/>
      <c r="H50" s="138"/>
      <c r="I50" s="139"/>
      <c r="J50" s="139"/>
      <c r="L50" s="135"/>
      <c r="M50" s="135"/>
      <c r="N50" s="135"/>
      <c r="O50" s="135"/>
      <c r="P50" s="130"/>
      <c r="Q50" s="127"/>
      <c r="R50" s="127"/>
      <c r="S50" s="127"/>
    </row>
    <row r="51" spans="1:19" s="163" customFormat="1" ht="12" customHeight="1">
      <c r="A51" s="136"/>
      <c r="B51" s="132"/>
      <c r="C51" s="137"/>
      <c r="D51" s="137"/>
      <c r="E51" s="137"/>
      <c r="F51" s="137"/>
      <c r="G51" s="137"/>
      <c r="H51" s="138"/>
      <c r="I51" s="139"/>
      <c r="J51" s="139"/>
      <c r="L51" s="135"/>
      <c r="M51" s="135"/>
      <c r="N51" s="135"/>
      <c r="O51" s="135"/>
      <c r="P51" s="130"/>
      <c r="Q51" s="127"/>
      <c r="R51" s="127"/>
      <c r="S51" s="127"/>
    </row>
    <row r="52" spans="1:19" s="163" customFormat="1" ht="12" customHeight="1">
      <c r="A52" s="136"/>
      <c r="B52" s="132"/>
      <c r="C52" s="137"/>
      <c r="D52" s="137"/>
      <c r="E52" s="137"/>
      <c r="F52" s="137"/>
      <c r="G52" s="137"/>
      <c r="H52" s="138"/>
      <c r="I52" s="139"/>
      <c r="J52" s="139"/>
      <c r="L52" s="135"/>
      <c r="M52" s="135"/>
      <c r="N52" s="135"/>
      <c r="O52" s="135"/>
      <c r="P52" s="130"/>
      <c r="Q52" s="127"/>
      <c r="R52" s="127"/>
      <c r="S52" s="127"/>
    </row>
    <row r="53" spans="1:19" s="163" customFormat="1" ht="12" customHeight="1">
      <c r="A53" s="136"/>
      <c r="B53" s="132"/>
      <c r="C53" s="137"/>
      <c r="D53" s="137"/>
      <c r="E53" s="137"/>
      <c r="F53" s="137"/>
      <c r="G53" s="137"/>
      <c r="H53" s="138"/>
      <c r="I53" s="139"/>
      <c r="J53" s="139"/>
      <c r="L53" s="135"/>
      <c r="M53" s="135"/>
      <c r="N53" s="135"/>
      <c r="O53" s="135"/>
      <c r="P53" s="130"/>
      <c r="Q53" s="127"/>
      <c r="R53" s="127"/>
      <c r="S53" s="127"/>
    </row>
    <row r="54" spans="1:19" s="163" customFormat="1" ht="12" customHeight="1">
      <c r="A54" s="136"/>
      <c r="B54" s="132"/>
      <c r="C54" s="137"/>
      <c r="D54" s="137"/>
      <c r="E54" s="137"/>
      <c r="F54" s="137"/>
      <c r="G54" s="137"/>
      <c r="H54" s="138"/>
      <c r="I54" s="139"/>
      <c r="J54" s="139"/>
      <c r="L54" s="135"/>
      <c r="M54" s="135"/>
      <c r="N54" s="135"/>
      <c r="O54" s="135"/>
      <c r="P54" s="130"/>
      <c r="Q54" s="127"/>
      <c r="R54" s="127"/>
      <c r="S54" s="127"/>
    </row>
    <row r="55" spans="1:19" s="163" customFormat="1" ht="12" customHeight="1">
      <c r="A55" s="136"/>
      <c r="B55" s="132"/>
      <c r="C55" s="137"/>
      <c r="D55" s="137"/>
      <c r="E55" s="137"/>
      <c r="F55" s="137"/>
      <c r="G55" s="137"/>
      <c r="H55" s="138"/>
      <c r="I55" s="139"/>
      <c r="J55" s="139"/>
      <c r="L55" s="135"/>
      <c r="M55" s="135"/>
      <c r="N55" s="135"/>
      <c r="O55" s="135"/>
      <c r="P55" s="130"/>
      <c r="Q55" s="127"/>
      <c r="R55" s="127"/>
      <c r="S55" s="127"/>
    </row>
    <row r="56" spans="1:19" s="163" customFormat="1" ht="12" customHeight="1">
      <c r="A56" s="136"/>
      <c r="B56" s="132"/>
      <c r="C56" s="137"/>
      <c r="D56" s="137"/>
      <c r="E56" s="137"/>
      <c r="F56" s="137"/>
      <c r="G56" s="137"/>
      <c r="H56" s="138"/>
      <c r="I56" s="139"/>
      <c r="J56" s="139"/>
      <c r="L56" s="135"/>
      <c r="M56" s="135"/>
      <c r="N56" s="135"/>
      <c r="O56" s="135"/>
      <c r="P56" s="130"/>
      <c r="Q56" s="127"/>
      <c r="R56" s="127"/>
      <c r="S56" s="127"/>
    </row>
    <row r="57" spans="1:19" s="163" customFormat="1" ht="12" customHeight="1">
      <c r="A57" s="136"/>
      <c r="B57" s="132"/>
      <c r="C57" s="137"/>
      <c r="D57" s="137"/>
      <c r="E57" s="137"/>
      <c r="F57" s="137"/>
      <c r="G57" s="137"/>
      <c r="H57" s="138"/>
      <c r="I57" s="139"/>
      <c r="J57" s="139"/>
      <c r="L57" s="135"/>
      <c r="M57" s="135"/>
      <c r="N57" s="135"/>
      <c r="O57" s="135"/>
      <c r="P57" s="130"/>
      <c r="Q57" s="127"/>
      <c r="R57" s="127"/>
      <c r="S57" s="127"/>
    </row>
    <row r="58" spans="1:19" s="163" customFormat="1" ht="12" customHeight="1">
      <c r="A58" s="136"/>
      <c r="B58" s="132"/>
      <c r="C58" s="137"/>
      <c r="D58" s="137"/>
      <c r="E58" s="137"/>
      <c r="F58" s="137"/>
      <c r="G58" s="137"/>
      <c r="H58" s="138"/>
      <c r="I58" s="139"/>
      <c r="J58" s="139"/>
      <c r="L58" s="135"/>
      <c r="M58" s="135"/>
      <c r="N58" s="135"/>
      <c r="O58" s="135"/>
      <c r="P58" s="130"/>
      <c r="Q58" s="127"/>
      <c r="R58" s="127"/>
      <c r="S58" s="127"/>
    </row>
    <row r="59" spans="1:19" s="163" customFormat="1" ht="12" customHeight="1">
      <c r="A59" s="136"/>
      <c r="B59" s="132"/>
      <c r="C59" s="137"/>
      <c r="D59" s="137"/>
      <c r="E59" s="137"/>
      <c r="F59" s="137"/>
      <c r="G59" s="137"/>
      <c r="H59" s="138"/>
      <c r="I59" s="139"/>
      <c r="J59" s="139"/>
      <c r="L59" s="135"/>
      <c r="M59" s="135"/>
      <c r="N59" s="135"/>
      <c r="O59" s="135"/>
      <c r="P59" s="130"/>
      <c r="Q59" s="127"/>
      <c r="R59" s="127"/>
      <c r="S59" s="127"/>
    </row>
    <row r="60" spans="1:19" s="163" customFormat="1" ht="12" customHeight="1">
      <c r="A60" s="136"/>
      <c r="B60" s="132"/>
      <c r="C60" s="137"/>
      <c r="D60" s="137"/>
      <c r="E60" s="137"/>
      <c r="F60" s="137"/>
      <c r="G60" s="137"/>
      <c r="H60" s="138"/>
      <c r="I60" s="139"/>
      <c r="J60" s="139"/>
      <c r="L60" s="135"/>
      <c r="M60" s="135"/>
      <c r="N60" s="135"/>
      <c r="O60" s="135"/>
      <c r="P60" s="130"/>
      <c r="Q60" s="127"/>
      <c r="R60" s="127"/>
      <c r="S60" s="127"/>
    </row>
    <row r="61" spans="1:19" s="163" customFormat="1" ht="12" customHeight="1">
      <c r="A61" s="136"/>
      <c r="B61" s="132"/>
      <c r="C61" s="137"/>
      <c r="D61" s="137"/>
      <c r="E61" s="137"/>
      <c r="F61" s="137"/>
      <c r="G61" s="137"/>
      <c r="H61" s="138"/>
      <c r="I61" s="139"/>
      <c r="J61" s="139"/>
      <c r="L61" s="135"/>
      <c r="M61" s="135"/>
      <c r="N61" s="135"/>
      <c r="O61" s="135"/>
      <c r="P61" s="130"/>
      <c r="Q61" s="127"/>
      <c r="R61" s="127"/>
      <c r="S61" s="127"/>
    </row>
    <row r="62" spans="1:19" s="163" customFormat="1" ht="12" customHeight="1">
      <c r="A62" s="136"/>
      <c r="B62" s="132"/>
      <c r="C62" s="137"/>
      <c r="D62" s="137"/>
      <c r="E62" s="137"/>
      <c r="F62" s="137"/>
      <c r="G62" s="137"/>
      <c r="H62" s="138"/>
      <c r="I62" s="139"/>
      <c r="J62" s="139"/>
      <c r="L62" s="135"/>
      <c r="M62" s="135"/>
      <c r="N62" s="135"/>
      <c r="O62" s="135"/>
      <c r="P62" s="130"/>
      <c r="Q62" s="127"/>
      <c r="R62" s="127"/>
      <c r="S62" s="127"/>
    </row>
    <row r="63" spans="1:19" s="163" customFormat="1" ht="12" customHeight="1">
      <c r="A63" s="136"/>
      <c r="B63" s="132"/>
      <c r="C63" s="137"/>
      <c r="D63" s="137"/>
      <c r="E63" s="137"/>
      <c r="F63" s="137"/>
      <c r="G63" s="137"/>
      <c r="H63" s="138"/>
      <c r="I63" s="139"/>
      <c r="J63" s="139"/>
      <c r="L63" s="135"/>
      <c r="M63" s="135"/>
      <c r="N63" s="135"/>
      <c r="O63" s="135"/>
      <c r="P63" s="130"/>
      <c r="Q63" s="127"/>
      <c r="R63" s="127"/>
      <c r="S63" s="127"/>
    </row>
    <row r="64" spans="1:19" s="163" customFormat="1" ht="12" customHeight="1">
      <c r="A64" s="136"/>
      <c r="B64" s="132"/>
      <c r="C64" s="137"/>
      <c r="D64" s="137"/>
      <c r="E64" s="137"/>
      <c r="F64" s="137"/>
      <c r="G64" s="137"/>
      <c r="H64" s="138"/>
      <c r="I64" s="139"/>
      <c r="J64" s="139"/>
      <c r="L64" s="135"/>
      <c r="M64" s="135"/>
      <c r="N64" s="135"/>
      <c r="O64" s="135"/>
      <c r="P64" s="130"/>
      <c r="Q64" s="127"/>
      <c r="R64" s="127"/>
      <c r="S64" s="127"/>
    </row>
    <row r="65" spans="1:19" s="163" customFormat="1" ht="12" customHeight="1">
      <c r="A65" s="136"/>
      <c r="B65" s="132"/>
      <c r="C65" s="137"/>
      <c r="D65" s="137"/>
      <c r="E65" s="137"/>
      <c r="F65" s="137"/>
      <c r="G65" s="137"/>
      <c r="H65" s="138"/>
      <c r="I65" s="139"/>
      <c r="J65" s="139"/>
      <c r="L65" s="135"/>
      <c r="M65" s="135"/>
      <c r="N65" s="135"/>
      <c r="O65" s="135"/>
      <c r="P65" s="130"/>
      <c r="Q65" s="127"/>
      <c r="R65" s="127"/>
      <c r="S65" s="127"/>
    </row>
    <row r="66" spans="1:19" s="163" customFormat="1" ht="12" customHeight="1">
      <c r="A66" s="136"/>
      <c r="B66" s="132"/>
      <c r="C66" s="137"/>
      <c r="D66" s="137"/>
      <c r="E66" s="137"/>
      <c r="F66" s="137"/>
      <c r="G66" s="137"/>
      <c r="H66" s="138"/>
      <c r="I66" s="139"/>
      <c r="J66" s="139"/>
      <c r="L66" s="135"/>
      <c r="M66" s="135"/>
      <c r="N66" s="135"/>
      <c r="O66" s="135"/>
      <c r="P66" s="130"/>
      <c r="Q66" s="127"/>
      <c r="R66" s="127"/>
      <c r="S66" s="127"/>
    </row>
    <row r="67" spans="1:19" s="163" customFormat="1" ht="12" customHeight="1">
      <c r="A67" s="136"/>
      <c r="B67" s="132"/>
      <c r="C67" s="137"/>
      <c r="D67" s="137"/>
      <c r="E67" s="137"/>
      <c r="F67" s="137"/>
      <c r="G67" s="137"/>
      <c r="H67" s="138"/>
      <c r="I67" s="139"/>
      <c r="J67" s="139"/>
      <c r="L67" s="135"/>
      <c r="M67" s="135"/>
      <c r="N67" s="135"/>
      <c r="O67" s="135"/>
      <c r="P67" s="130"/>
      <c r="Q67" s="127"/>
      <c r="R67" s="127"/>
      <c r="S67" s="127"/>
    </row>
    <row r="68" spans="1:19" s="163" customFormat="1" ht="12" customHeight="1">
      <c r="A68" s="136"/>
      <c r="B68" s="132"/>
      <c r="C68" s="137"/>
      <c r="D68" s="137"/>
      <c r="E68" s="137"/>
      <c r="F68" s="137"/>
      <c r="G68" s="137"/>
      <c r="H68" s="138"/>
      <c r="I68" s="139"/>
      <c r="J68" s="139"/>
      <c r="L68" s="135"/>
      <c r="M68" s="135"/>
      <c r="N68" s="135"/>
      <c r="O68" s="135"/>
      <c r="P68" s="130"/>
      <c r="Q68" s="127"/>
      <c r="R68" s="127"/>
      <c r="S68" s="127"/>
    </row>
    <row r="69" spans="1:19" s="163" customFormat="1" ht="12" customHeight="1">
      <c r="A69" s="136"/>
      <c r="B69" s="132"/>
      <c r="C69" s="137"/>
      <c r="D69" s="137"/>
      <c r="E69" s="137"/>
      <c r="F69" s="137"/>
      <c r="G69" s="137"/>
      <c r="H69" s="138"/>
      <c r="I69" s="139"/>
      <c r="J69" s="139"/>
      <c r="L69" s="135"/>
      <c r="M69" s="135"/>
      <c r="N69" s="135"/>
      <c r="O69" s="135"/>
      <c r="P69" s="130"/>
      <c r="Q69" s="127"/>
      <c r="R69" s="127"/>
      <c r="S69" s="127"/>
    </row>
    <row r="70" spans="1:19" s="163" customFormat="1" ht="12" customHeight="1">
      <c r="A70" s="136"/>
      <c r="B70" s="132"/>
      <c r="C70" s="137"/>
      <c r="D70" s="137"/>
      <c r="E70" s="137"/>
      <c r="F70" s="137"/>
      <c r="G70" s="137"/>
      <c r="H70" s="138"/>
      <c r="I70" s="139"/>
      <c r="J70" s="139"/>
      <c r="L70" s="135"/>
      <c r="M70" s="135"/>
      <c r="N70" s="135"/>
      <c r="O70" s="135"/>
      <c r="P70" s="130"/>
      <c r="Q70" s="127"/>
      <c r="R70" s="127"/>
      <c r="S70" s="127"/>
    </row>
    <row r="71" spans="1:19" s="163" customFormat="1" ht="12" customHeight="1">
      <c r="A71" s="136"/>
      <c r="B71" s="132"/>
      <c r="C71" s="137"/>
      <c r="D71" s="137"/>
      <c r="E71" s="137"/>
      <c r="F71" s="137"/>
      <c r="G71" s="137"/>
      <c r="H71" s="138"/>
      <c r="I71" s="139"/>
      <c r="J71" s="139"/>
      <c r="L71" s="135"/>
      <c r="M71" s="135"/>
      <c r="N71" s="135"/>
      <c r="O71" s="135"/>
      <c r="P71" s="130"/>
      <c r="Q71" s="127"/>
      <c r="R71" s="127"/>
      <c r="S71" s="127"/>
    </row>
    <row r="72" spans="1:19" s="163" customFormat="1" ht="12" customHeight="1">
      <c r="A72" s="136"/>
      <c r="B72" s="132"/>
      <c r="C72" s="137"/>
      <c r="D72" s="137"/>
      <c r="E72" s="137"/>
      <c r="F72" s="137"/>
      <c r="G72" s="137"/>
      <c r="H72" s="138"/>
      <c r="I72" s="139"/>
      <c r="J72" s="139"/>
      <c r="L72" s="135"/>
      <c r="M72" s="135"/>
      <c r="N72" s="135"/>
      <c r="O72" s="135"/>
      <c r="P72" s="130"/>
      <c r="Q72" s="127"/>
      <c r="R72" s="127"/>
      <c r="S72" s="127"/>
    </row>
    <row r="73" spans="1:19" s="163" customFormat="1" ht="12" customHeight="1">
      <c r="A73" s="136"/>
      <c r="B73" s="132"/>
      <c r="C73" s="137"/>
      <c r="D73" s="137"/>
      <c r="E73" s="137"/>
      <c r="F73" s="137"/>
      <c r="G73" s="137"/>
      <c r="H73" s="138"/>
      <c r="I73" s="139"/>
      <c r="J73" s="139"/>
      <c r="L73" s="135"/>
      <c r="M73" s="135"/>
      <c r="N73" s="135"/>
      <c r="O73" s="135"/>
      <c r="P73" s="130"/>
      <c r="Q73" s="127"/>
      <c r="R73" s="127"/>
      <c r="S73" s="127"/>
    </row>
    <row r="74" spans="1:19" s="163" customFormat="1" ht="12" customHeight="1">
      <c r="A74" s="136"/>
      <c r="B74" s="132"/>
      <c r="C74" s="137"/>
      <c r="D74" s="137"/>
      <c r="E74" s="137"/>
      <c r="F74" s="137"/>
      <c r="G74" s="137"/>
      <c r="H74" s="138"/>
      <c r="I74" s="139"/>
      <c r="J74" s="139"/>
      <c r="L74" s="135"/>
      <c r="M74" s="135"/>
      <c r="N74" s="135"/>
      <c r="O74" s="135"/>
      <c r="P74" s="130"/>
      <c r="Q74" s="127"/>
      <c r="R74" s="127"/>
      <c r="S74" s="127"/>
    </row>
    <row r="75" spans="1:19" s="163" customFormat="1" ht="12" customHeight="1">
      <c r="A75" s="136"/>
      <c r="B75" s="132"/>
      <c r="C75" s="137"/>
      <c r="D75" s="137"/>
      <c r="E75" s="137"/>
      <c r="F75" s="137"/>
      <c r="G75" s="137"/>
      <c r="H75" s="138"/>
      <c r="I75" s="139"/>
      <c r="J75" s="139"/>
      <c r="L75" s="135"/>
      <c r="M75" s="135"/>
      <c r="N75" s="135"/>
      <c r="O75" s="135"/>
      <c r="P75" s="130"/>
      <c r="Q75" s="127"/>
      <c r="R75" s="127"/>
      <c r="S75" s="127"/>
    </row>
    <row r="76" spans="1:19" s="163" customFormat="1" ht="12" customHeight="1">
      <c r="A76" s="136"/>
      <c r="B76" s="132"/>
      <c r="C76" s="137"/>
      <c r="D76" s="137"/>
      <c r="E76" s="137"/>
      <c r="F76" s="137"/>
      <c r="G76" s="137"/>
      <c r="H76" s="138"/>
      <c r="I76" s="139"/>
      <c r="J76" s="139"/>
      <c r="L76" s="135"/>
      <c r="M76" s="135"/>
      <c r="N76" s="135"/>
      <c r="O76" s="135"/>
      <c r="P76" s="130"/>
      <c r="Q76" s="127"/>
      <c r="R76" s="127"/>
      <c r="S76" s="127"/>
    </row>
    <row r="77" spans="1:19" s="163" customFormat="1" ht="12" customHeight="1">
      <c r="A77" s="136"/>
      <c r="B77" s="132"/>
      <c r="C77" s="137"/>
      <c r="D77" s="137"/>
      <c r="E77" s="137"/>
      <c r="F77" s="137"/>
      <c r="G77" s="137"/>
      <c r="H77" s="138"/>
      <c r="I77" s="139"/>
      <c r="J77" s="139"/>
      <c r="L77" s="135"/>
      <c r="M77" s="135"/>
      <c r="N77" s="135"/>
      <c r="O77" s="135"/>
      <c r="P77" s="130"/>
      <c r="Q77" s="127"/>
      <c r="R77" s="127"/>
      <c r="S77" s="127"/>
    </row>
    <row r="78" spans="1:19" s="163" customFormat="1" ht="12" customHeight="1">
      <c r="A78" s="136"/>
      <c r="B78" s="132"/>
      <c r="C78" s="137"/>
      <c r="D78" s="137"/>
      <c r="E78" s="137"/>
      <c r="F78" s="137"/>
      <c r="G78" s="137"/>
      <c r="H78" s="138"/>
      <c r="I78" s="139"/>
      <c r="J78" s="139"/>
      <c r="L78" s="135"/>
      <c r="M78" s="135"/>
      <c r="N78" s="135"/>
      <c r="O78" s="135"/>
      <c r="P78" s="130"/>
      <c r="Q78" s="127"/>
      <c r="R78" s="127"/>
      <c r="S78" s="127"/>
    </row>
    <row r="79" spans="1:19" s="163" customFormat="1" ht="12" customHeight="1">
      <c r="A79" s="136"/>
      <c r="B79" s="132"/>
      <c r="C79" s="137"/>
      <c r="D79" s="137"/>
      <c r="E79" s="137"/>
      <c r="F79" s="137"/>
      <c r="G79" s="137"/>
      <c r="H79" s="138"/>
      <c r="I79" s="139"/>
      <c r="J79" s="139"/>
      <c r="L79" s="135"/>
      <c r="M79" s="135"/>
      <c r="N79" s="135"/>
      <c r="O79" s="135"/>
      <c r="P79" s="130"/>
      <c r="Q79" s="127"/>
      <c r="R79" s="127"/>
      <c r="S79" s="127"/>
    </row>
    <row r="80" spans="1:19" s="163" customFormat="1" ht="12" customHeight="1">
      <c r="A80" s="136"/>
      <c r="B80" s="132"/>
      <c r="C80" s="137"/>
      <c r="D80" s="137"/>
      <c r="E80" s="137"/>
      <c r="F80" s="137"/>
      <c r="G80" s="137"/>
      <c r="H80" s="138"/>
      <c r="I80" s="139"/>
      <c r="J80" s="139"/>
      <c r="L80" s="135"/>
      <c r="M80" s="135"/>
      <c r="N80" s="135"/>
      <c r="O80" s="135"/>
      <c r="P80" s="130"/>
      <c r="Q80" s="127"/>
      <c r="R80" s="127"/>
      <c r="S80" s="127"/>
    </row>
    <row r="81" spans="1:19" s="163" customFormat="1" ht="12" customHeight="1">
      <c r="A81" s="136"/>
      <c r="B81" s="132"/>
      <c r="C81" s="137"/>
      <c r="D81" s="137"/>
      <c r="E81" s="137"/>
      <c r="F81" s="137"/>
      <c r="G81" s="137"/>
      <c r="H81" s="138"/>
      <c r="I81" s="139"/>
      <c r="J81" s="139"/>
      <c r="L81" s="135"/>
      <c r="M81" s="135"/>
      <c r="N81" s="135"/>
      <c r="O81" s="135"/>
      <c r="P81" s="130"/>
      <c r="Q81" s="127"/>
      <c r="R81" s="127"/>
      <c r="S81" s="127"/>
    </row>
    <row r="82" spans="1:19" s="163" customFormat="1" ht="12" customHeight="1">
      <c r="A82" s="136"/>
      <c r="B82" s="132"/>
      <c r="C82" s="137"/>
      <c r="D82" s="137"/>
      <c r="E82" s="137"/>
      <c r="F82" s="137"/>
      <c r="G82" s="137"/>
      <c r="H82" s="138"/>
      <c r="I82" s="139"/>
      <c r="J82" s="139"/>
      <c r="L82" s="135"/>
      <c r="M82" s="135"/>
      <c r="N82" s="135"/>
      <c r="O82" s="135"/>
      <c r="P82" s="130"/>
      <c r="Q82" s="127"/>
      <c r="R82" s="127"/>
      <c r="S82" s="127"/>
    </row>
    <row r="83" spans="1:19" s="163" customFormat="1" ht="12" customHeight="1">
      <c r="A83" s="136"/>
      <c r="B83" s="132"/>
      <c r="C83" s="137"/>
      <c r="D83" s="137"/>
      <c r="E83" s="137"/>
      <c r="F83" s="137"/>
      <c r="G83" s="137"/>
      <c r="H83" s="138"/>
      <c r="I83" s="139"/>
      <c r="J83" s="139"/>
      <c r="L83" s="135"/>
      <c r="M83" s="135"/>
      <c r="N83" s="135"/>
      <c r="O83" s="135"/>
      <c r="P83" s="130"/>
      <c r="Q83" s="127"/>
      <c r="R83" s="127"/>
      <c r="S83" s="127"/>
    </row>
    <row r="84" spans="1:19" s="163" customFormat="1" ht="12" customHeight="1">
      <c r="A84" s="136"/>
      <c r="B84" s="132"/>
      <c r="C84" s="137"/>
      <c r="D84" s="137"/>
      <c r="E84" s="137"/>
      <c r="F84" s="137"/>
      <c r="G84" s="137"/>
      <c r="H84" s="138"/>
      <c r="I84" s="139"/>
      <c r="J84" s="139"/>
      <c r="L84" s="135"/>
      <c r="M84" s="135"/>
      <c r="N84" s="135"/>
      <c r="O84" s="135"/>
      <c r="P84" s="130"/>
      <c r="Q84" s="127"/>
      <c r="R84" s="127"/>
      <c r="S84" s="127"/>
    </row>
    <row r="85" spans="1:19" s="163" customFormat="1" ht="12" customHeight="1">
      <c r="A85" s="136"/>
      <c r="B85" s="132"/>
      <c r="C85" s="137"/>
      <c r="D85" s="137"/>
      <c r="E85" s="137"/>
      <c r="F85" s="137"/>
      <c r="G85" s="137"/>
      <c r="H85" s="138"/>
      <c r="I85" s="139"/>
      <c r="J85" s="139"/>
      <c r="L85" s="135"/>
      <c r="M85" s="135"/>
      <c r="N85" s="135"/>
      <c r="O85" s="135"/>
      <c r="P85" s="130"/>
      <c r="Q85" s="127"/>
      <c r="R85" s="127"/>
      <c r="S85" s="127"/>
    </row>
    <row r="86" spans="1:19" s="163" customFormat="1" ht="12" customHeight="1">
      <c r="A86" s="136"/>
      <c r="B86" s="132"/>
      <c r="C86" s="137"/>
      <c r="D86" s="137"/>
      <c r="E86" s="137"/>
      <c r="F86" s="137"/>
      <c r="G86" s="137"/>
      <c r="H86" s="138"/>
      <c r="I86" s="139"/>
      <c r="J86" s="139"/>
      <c r="L86" s="135"/>
      <c r="M86" s="135"/>
      <c r="N86" s="135"/>
      <c r="O86" s="135"/>
      <c r="P86" s="130"/>
      <c r="Q86" s="127"/>
      <c r="R86" s="127"/>
      <c r="S86" s="127"/>
    </row>
    <row r="87" spans="1:19" s="163" customFormat="1" ht="12" customHeight="1">
      <c r="A87" s="136"/>
      <c r="B87" s="132"/>
      <c r="C87" s="137"/>
      <c r="D87" s="137"/>
      <c r="E87" s="137"/>
      <c r="F87" s="137"/>
      <c r="G87" s="137"/>
      <c r="H87" s="138"/>
      <c r="I87" s="139"/>
      <c r="J87" s="139"/>
      <c r="L87" s="135"/>
      <c r="M87" s="135"/>
      <c r="N87" s="135"/>
      <c r="O87" s="135"/>
      <c r="P87" s="130"/>
      <c r="Q87" s="127"/>
      <c r="R87" s="127"/>
      <c r="S87" s="127"/>
    </row>
    <row r="88" spans="1:19" s="163" customFormat="1" ht="12" customHeight="1">
      <c r="A88" s="136"/>
      <c r="B88" s="132"/>
      <c r="C88" s="137"/>
      <c r="D88" s="137"/>
      <c r="E88" s="137"/>
      <c r="F88" s="137"/>
      <c r="G88" s="137"/>
      <c r="H88" s="138"/>
      <c r="I88" s="139"/>
      <c r="J88" s="139"/>
      <c r="L88" s="135"/>
      <c r="M88" s="135"/>
      <c r="N88" s="135"/>
      <c r="O88" s="135"/>
      <c r="P88" s="130"/>
      <c r="Q88" s="127"/>
      <c r="R88" s="127"/>
      <c r="S88" s="127"/>
    </row>
    <row r="89" spans="1:19" s="163" customFormat="1" ht="12" customHeight="1">
      <c r="A89" s="136"/>
      <c r="B89" s="132"/>
      <c r="C89" s="137"/>
      <c r="D89" s="137"/>
      <c r="E89" s="137"/>
      <c r="F89" s="137"/>
      <c r="G89" s="137"/>
      <c r="H89" s="138"/>
      <c r="I89" s="139"/>
      <c r="J89" s="139"/>
      <c r="L89" s="135"/>
      <c r="M89" s="135"/>
      <c r="N89" s="135"/>
      <c r="O89" s="135"/>
      <c r="P89" s="130"/>
      <c r="Q89" s="127"/>
      <c r="R89" s="127"/>
      <c r="S89" s="127"/>
    </row>
    <row r="90" spans="1:19" s="163" customFormat="1" ht="12" customHeight="1">
      <c r="A90" s="136"/>
      <c r="B90" s="132"/>
      <c r="C90" s="137"/>
      <c r="D90" s="137"/>
      <c r="E90" s="137"/>
      <c r="F90" s="137"/>
      <c r="G90" s="137"/>
      <c r="H90" s="138"/>
      <c r="I90" s="139"/>
      <c r="J90" s="139"/>
      <c r="L90" s="135"/>
      <c r="M90" s="135"/>
      <c r="N90" s="135"/>
      <c r="O90" s="135"/>
      <c r="P90" s="130"/>
      <c r="Q90" s="127"/>
      <c r="R90" s="127"/>
      <c r="S90" s="127"/>
    </row>
    <row r="91" spans="1:19" s="163" customFormat="1" ht="12" customHeight="1">
      <c r="A91" s="136"/>
      <c r="B91" s="132"/>
      <c r="C91" s="137"/>
      <c r="D91" s="137"/>
      <c r="E91" s="137"/>
      <c r="F91" s="137"/>
      <c r="G91" s="137"/>
      <c r="H91" s="138"/>
      <c r="I91" s="139"/>
      <c r="J91" s="139"/>
      <c r="L91" s="135"/>
      <c r="M91" s="135"/>
      <c r="N91" s="135"/>
      <c r="O91" s="135"/>
      <c r="P91" s="130"/>
      <c r="Q91" s="127"/>
      <c r="R91" s="127"/>
      <c r="S91" s="127"/>
    </row>
    <row r="92" spans="1:19" s="163" customFormat="1" ht="12" customHeight="1">
      <c r="A92" s="136"/>
      <c r="B92" s="132"/>
      <c r="C92" s="137"/>
      <c r="D92" s="137"/>
      <c r="E92" s="137"/>
      <c r="F92" s="137"/>
      <c r="G92" s="137"/>
      <c r="H92" s="138"/>
      <c r="I92" s="139"/>
      <c r="J92" s="139"/>
      <c r="L92" s="135"/>
      <c r="M92" s="135"/>
      <c r="N92" s="135"/>
      <c r="O92" s="135"/>
      <c r="P92" s="130"/>
      <c r="Q92" s="127"/>
      <c r="R92" s="127"/>
      <c r="S92" s="127"/>
    </row>
    <row r="93" spans="1:19" s="163" customFormat="1" ht="12" customHeight="1">
      <c r="A93" s="136"/>
      <c r="B93" s="132"/>
      <c r="C93" s="137"/>
      <c r="D93" s="137"/>
      <c r="E93" s="137"/>
      <c r="F93" s="137"/>
      <c r="G93" s="137"/>
      <c r="H93" s="138"/>
      <c r="I93" s="139"/>
      <c r="J93" s="139"/>
      <c r="L93" s="135"/>
      <c r="M93" s="135"/>
      <c r="N93" s="135"/>
      <c r="O93" s="135"/>
      <c r="P93" s="130"/>
      <c r="Q93" s="127"/>
      <c r="R93" s="127"/>
      <c r="S93" s="127"/>
    </row>
    <row r="94" spans="1:19" s="163" customFormat="1" ht="12" customHeight="1">
      <c r="A94" s="136"/>
      <c r="B94" s="132"/>
      <c r="C94" s="137"/>
      <c r="D94" s="137"/>
      <c r="E94" s="137"/>
      <c r="F94" s="137"/>
      <c r="G94" s="137"/>
      <c r="H94" s="138"/>
      <c r="I94" s="139"/>
      <c r="J94" s="139"/>
      <c r="L94" s="135"/>
      <c r="M94" s="135"/>
      <c r="N94" s="135"/>
      <c r="O94" s="135"/>
      <c r="P94" s="130"/>
      <c r="Q94" s="127"/>
      <c r="R94" s="127"/>
      <c r="S94" s="127"/>
    </row>
    <row r="95" spans="1:19" s="163" customFormat="1" ht="12" customHeight="1">
      <c r="A95" s="136"/>
      <c r="B95" s="132"/>
      <c r="C95" s="137"/>
      <c r="D95" s="137"/>
      <c r="E95" s="137"/>
      <c r="F95" s="137"/>
      <c r="G95" s="137"/>
      <c r="H95" s="138"/>
      <c r="I95" s="139"/>
      <c r="J95" s="139"/>
      <c r="L95" s="135"/>
      <c r="M95" s="135"/>
      <c r="N95" s="135"/>
      <c r="O95" s="135"/>
      <c r="P95" s="130"/>
      <c r="Q95" s="127"/>
      <c r="R95" s="127"/>
      <c r="S95" s="127"/>
    </row>
    <row r="96" spans="1:19" s="163" customFormat="1" ht="12" customHeight="1">
      <c r="A96" s="136"/>
      <c r="B96" s="132"/>
      <c r="C96" s="137"/>
      <c r="D96" s="137"/>
      <c r="E96" s="137"/>
      <c r="F96" s="137"/>
      <c r="G96" s="137"/>
      <c r="H96" s="138"/>
      <c r="I96" s="139"/>
      <c r="J96" s="139"/>
      <c r="L96" s="135"/>
      <c r="M96" s="135"/>
      <c r="N96" s="135"/>
      <c r="O96" s="135"/>
      <c r="P96" s="130"/>
      <c r="Q96" s="127"/>
      <c r="R96" s="127"/>
      <c r="S96" s="127"/>
    </row>
    <row r="97" spans="1:19" s="163" customFormat="1" ht="12" customHeight="1">
      <c r="A97" s="136"/>
      <c r="B97" s="132"/>
      <c r="C97" s="137"/>
      <c r="D97" s="137"/>
      <c r="E97" s="137"/>
      <c r="F97" s="137"/>
      <c r="G97" s="137"/>
      <c r="H97" s="138"/>
      <c r="I97" s="139"/>
      <c r="J97" s="139"/>
      <c r="L97" s="135"/>
      <c r="M97" s="135"/>
      <c r="N97" s="135"/>
      <c r="O97" s="135"/>
      <c r="P97" s="130"/>
      <c r="Q97" s="127"/>
      <c r="R97" s="127"/>
      <c r="S97" s="127"/>
    </row>
    <row r="98" spans="1:19" s="163" customFormat="1" ht="12" customHeight="1">
      <c r="A98" s="136"/>
      <c r="B98" s="132"/>
      <c r="C98" s="137"/>
      <c r="D98" s="137"/>
      <c r="E98" s="137"/>
      <c r="F98" s="137"/>
      <c r="G98" s="137"/>
      <c r="H98" s="138"/>
      <c r="I98" s="139"/>
      <c r="J98" s="139"/>
      <c r="L98" s="135"/>
      <c r="M98" s="135"/>
      <c r="N98" s="135"/>
      <c r="O98" s="135"/>
      <c r="P98" s="130"/>
      <c r="Q98" s="127"/>
      <c r="R98" s="127"/>
      <c r="S98" s="127"/>
    </row>
    <row r="99" spans="1:19" s="163" customFormat="1" ht="12" customHeight="1">
      <c r="A99" s="136"/>
      <c r="B99" s="132"/>
      <c r="C99" s="137"/>
      <c r="D99" s="137"/>
      <c r="E99" s="137"/>
      <c r="F99" s="137"/>
      <c r="G99" s="137"/>
      <c r="H99" s="138"/>
      <c r="I99" s="139"/>
      <c r="J99" s="139"/>
      <c r="L99" s="135"/>
      <c r="M99" s="135"/>
      <c r="N99" s="135"/>
      <c r="O99" s="135"/>
      <c r="P99" s="130"/>
      <c r="Q99" s="127"/>
      <c r="R99" s="127"/>
      <c r="S99" s="127"/>
    </row>
    <row r="100" spans="1:19" s="163" customFormat="1" ht="12" customHeight="1">
      <c r="A100" s="136"/>
      <c r="B100" s="132"/>
      <c r="C100" s="137"/>
      <c r="D100" s="137"/>
      <c r="E100" s="137"/>
      <c r="F100" s="137"/>
      <c r="G100" s="137"/>
      <c r="H100" s="138"/>
      <c r="I100" s="139"/>
      <c r="J100" s="139"/>
      <c r="L100" s="135"/>
      <c r="M100" s="135"/>
      <c r="N100" s="135"/>
      <c r="O100" s="135"/>
      <c r="P100" s="130"/>
      <c r="Q100" s="127"/>
      <c r="R100" s="127"/>
      <c r="S100" s="127"/>
    </row>
    <row r="101" spans="1:19" s="163" customFormat="1" ht="12" customHeight="1">
      <c r="A101" s="136"/>
      <c r="B101" s="132"/>
      <c r="C101" s="137"/>
      <c r="D101" s="137"/>
      <c r="E101" s="137"/>
      <c r="F101" s="137"/>
      <c r="G101" s="137"/>
      <c r="H101" s="138"/>
      <c r="I101" s="139"/>
      <c r="J101" s="139"/>
      <c r="L101" s="135"/>
      <c r="M101" s="135"/>
      <c r="N101" s="135"/>
      <c r="O101" s="135"/>
      <c r="P101" s="130"/>
      <c r="Q101" s="127"/>
      <c r="R101" s="127"/>
      <c r="S101" s="127"/>
    </row>
    <row r="102" spans="1:19" s="163" customFormat="1" ht="12" customHeight="1">
      <c r="A102" s="136"/>
      <c r="B102" s="132"/>
      <c r="C102" s="137"/>
      <c r="D102" s="137"/>
      <c r="E102" s="137"/>
      <c r="F102" s="137"/>
      <c r="G102" s="137"/>
      <c r="H102" s="138"/>
      <c r="I102" s="139"/>
      <c r="J102" s="139"/>
      <c r="L102" s="135"/>
      <c r="M102" s="135"/>
      <c r="N102" s="135"/>
      <c r="O102" s="135"/>
      <c r="P102" s="130"/>
      <c r="Q102" s="127"/>
      <c r="R102" s="127"/>
      <c r="S102" s="127"/>
    </row>
    <row r="103" spans="1:19" s="163" customFormat="1" ht="12" customHeight="1">
      <c r="A103" s="136"/>
      <c r="B103" s="132"/>
      <c r="C103" s="137"/>
      <c r="D103" s="137"/>
      <c r="E103" s="137"/>
      <c r="F103" s="137"/>
      <c r="G103" s="137"/>
      <c r="H103" s="138"/>
      <c r="I103" s="139"/>
      <c r="J103" s="139"/>
      <c r="L103" s="135"/>
      <c r="M103" s="135"/>
      <c r="N103" s="135"/>
      <c r="O103" s="135"/>
      <c r="P103" s="130"/>
      <c r="Q103" s="127"/>
      <c r="R103" s="127"/>
      <c r="S103" s="127"/>
    </row>
    <row r="104" spans="1:19" s="163" customFormat="1" ht="12" customHeight="1">
      <c r="A104" s="136"/>
      <c r="B104" s="132"/>
      <c r="C104" s="137"/>
      <c r="D104" s="137"/>
      <c r="E104" s="137"/>
      <c r="F104" s="137"/>
      <c r="G104" s="137"/>
      <c r="H104" s="138"/>
      <c r="I104" s="139"/>
      <c r="J104" s="139"/>
      <c r="L104" s="135"/>
      <c r="M104" s="135"/>
      <c r="N104" s="135"/>
      <c r="O104" s="135"/>
      <c r="P104" s="130"/>
      <c r="Q104" s="127"/>
      <c r="R104" s="127"/>
      <c r="S104" s="127"/>
    </row>
    <row r="105" spans="1:19" s="163" customFormat="1" ht="12" customHeight="1">
      <c r="A105" s="136"/>
      <c r="B105" s="132"/>
      <c r="C105" s="137"/>
      <c r="D105" s="137"/>
      <c r="E105" s="137"/>
      <c r="F105" s="137"/>
      <c r="G105" s="137"/>
      <c r="H105" s="138"/>
      <c r="I105" s="139"/>
      <c r="J105" s="139"/>
      <c r="L105" s="135"/>
      <c r="M105" s="135"/>
      <c r="N105" s="135"/>
      <c r="O105" s="135"/>
      <c r="P105" s="130"/>
      <c r="Q105" s="127"/>
      <c r="R105" s="127"/>
      <c r="S105" s="127"/>
    </row>
    <row r="106" spans="1:19" s="163" customFormat="1" ht="12" customHeight="1">
      <c r="A106" s="136"/>
      <c r="B106" s="132"/>
      <c r="C106" s="137"/>
      <c r="D106" s="137"/>
      <c r="E106" s="137"/>
      <c r="F106" s="137"/>
      <c r="G106" s="137"/>
      <c r="H106" s="138"/>
      <c r="I106" s="139"/>
      <c r="J106" s="139"/>
      <c r="L106" s="135"/>
      <c r="M106" s="135"/>
      <c r="N106" s="135"/>
      <c r="O106" s="135"/>
      <c r="P106" s="130"/>
      <c r="Q106" s="127"/>
      <c r="R106" s="127"/>
      <c r="S106" s="127"/>
    </row>
    <row r="107" spans="1:19" s="163" customFormat="1" ht="12" customHeight="1">
      <c r="A107" s="136"/>
      <c r="B107" s="132"/>
      <c r="C107" s="137"/>
      <c r="D107" s="137"/>
      <c r="E107" s="137"/>
      <c r="F107" s="137"/>
      <c r="G107" s="137"/>
      <c r="H107" s="138"/>
      <c r="I107" s="139"/>
      <c r="J107" s="139"/>
      <c r="L107" s="135"/>
      <c r="M107" s="135"/>
      <c r="N107" s="135"/>
      <c r="O107" s="135"/>
      <c r="P107" s="130"/>
      <c r="Q107" s="127"/>
      <c r="R107" s="127"/>
      <c r="S107" s="127"/>
    </row>
    <row r="108" spans="1:19" s="163" customFormat="1" ht="12" customHeight="1">
      <c r="A108" s="136"/>
      <c r="B108" s="132"/>
      <c r="C108" s="137"/>
      <c r="D108" s="137"/>
      <c r="E108" s="137"/>
      <c r="F108" s="137"/>
      <c r="G108" s="137"/>
      <c r="H108" s="138"/>
      <c r="I108" s="139"/>
      <c r="J108" s="139"/>
      <c r="L108" s="135"/>
      <c r="M108" s="135"/>
      <c r="N108" s="135"/>
      <c r="O108" s="135"/>
      <c r="P108" s="130"/>
      <c r="Q108" s="127"/>
      <c r="R108" s="127"/>
      <c r="S108" s="127"/>
    </row>
    <row r="109" spans="1:19" s="163" customFormat="1" ht="12" customHeight="1">
      <c r="A109" s="136"/>
      <c r="B109" s="132"/>
      <c r="C109" s="137"/>
      <c r="D109" s="137"/>
      <c r="E109" s="137"/>
      <c r="F109" s="137"/>
      <c r="G109" s="137"/>
      <c r="H109" s="138"/>
      <c r="I109" s="139"/>
      <c r="J109" s="139"/>
      <c r="L109" s="135"/>
      <c r="M109" s="135"/>
      <c r="N109" s="135"/>
      <c r="O109" s="135"/>
      <c r="P109" s="130"/>
      <c r="Q109" s="127"/>
      <c r="R109" s="127"/>
      <c r="S109" s="127"/>
    </row>
    <row r="110" spans="1:19" s="163" customFormat="1" ht="12" customHeight="1">
      <c r="A110" s="136"/>
      <c r="B110" s="132"/>
      <c r="C110" s="137"/>
      <c r="D110" s="137"/>
      <c r="E110" s="137"/>
      <c r="F110" s="137"/>
      <c r="G110" s="137"/>
      <c r="H110" s="138"/>
      <c r="I110" s="139"/>
      <c r="J110" s="139"/>
      <c r="L110" s="135"/>
      <c r="M110" s="135"/>
      <c r="N110" s="135"/>
      <c r="O110" s="135"/>
      <c r="P110" s="130"/>
      <c r="Q110" s="127"/>
      <c r="R110" s="127"/>
      <c r="S110" s="127"/>
    </row>
    <row r="111" spans="1:19" s="163" customFormat="1" ht="12" customHeight="1">
      <c r="A111" s="136"/>
      <c r="B111" s="132"/>
      <c r="C111" s="137"/>
      <c r="D111" s="137"/>
      <c r="E111" s="137"/>
      <c r="F111" s="137"/>
      <c r="G111" s="137"/>
      <c r="H111" s="138"/>
      <c r="I111" s="139"/>
      <c r="J111" s="139"/>
      <c r="L111" s="135"/>
      <c r="M111" s="135"/>
      <c r="N111" s="135"/>
      <c r="O111" s="135"/>
      <c r="P111" s="130"/>
      <c r="Q111" s="127"/>
      <c r="R111" s="127"/>
      <c r="S111" s="127"/>
    </row>
    <row r="112" spans="1:19" s="163" customFormat="1" ht="12" customHeight="1">
      <c r="A112" s="136"/>
      <c r="B112" s="132"/>
      <c r="C112" s="137"/>
      <c r="D112" s="137"/>
      <c r="E112" s="137"/>
      <c r="F112" s="137"/>
      <c r="G112" s="137"/>
      <c r="H112" s="138"/>
      <c r="I112" s="139"/>
      <c r="J112" s="139"/>
      <c r="L112" s="135"/>
      <c r="M112" s="135"/>
      <c r="N112" s="135"/>
      <c r="O112" s="135"/>
      <c r="P112" s="130"/>
      <c r="Q112" s="127"/>
      <c r="R112" s="127"/>
      <c r="S112" s="127"/>
    </row>
    <row r="113" spans="1:19" s="163" customFormat="1" ht="12" customHeight="1">
      <c r="A113" s="136"/>
      <c r="B113" s="132"/>
      <c r="C113" s="137"/>
      <c r="D113" s="137"/>
      <c r="E113" s="137"/>
      <c r="F113" s="137"/>
      <c r="G113" s="137"/>
      <c r="H113" s="138"/>
      <c r="I113" s="139"/>
      <c r="J113" s="139"/>
      <c r="L113" s="135"/>
      <c r="M113" s="135"/>
      <c r="N113" s="135"/>
      <c r="O113" s="135"/>
      <c r="P113" s="130"/>
      <c r="Q113" s="127"/>
      <c r="R113" s="127"/>
      <c r="S113" s="127"/>
    </row>
    <row r="114" spans="1:19" s="163" customFormat="1" ht="12" customHeight="1">
      <c r="A114" s="136"/>
      <c r="B114" s="132"/>
      <c r="C114" s="137"/>
      <c r="D114" s="137"/>
      <c r="E114" s="137"/>
      <c r="F114" s="137"/>
      <c r="G114" s="137"/>
      <c r="H114" s="138"/>
      <c r="I114" s="139"/>
      <c r="J114" s="139"/>
      <c r="L114" s="135"/>
      <c r="M114" s="135"/>
      <c r="N114" s="135"/>
      <c r="O114" s="135"/>
      <c r="P114" s="130"/>
      <c r="Q114" s="127"/>
      <c r="R114" s="127"/>
      <c r="S114" s="127"/>
    </row>
    <row r="115" spans="1:19" s="163" customFormat="1" ht="12" customHeight="1">
      <c r="A115" s="136"/>
      <c r="B115" s="132"/>
      <c r="C115" s="137"/>
      <c r="D115" s="137"/>
      <c r="E115" s="137"/>
      <c r="F115" s="137"/>
      <c r="G115" s="137"/>
      <c r="H115" s="138"/>
      <c r="I115" s="139"/>
      <c r="J115" s="139"/>
      <c r="L115" s="135"/>
      <c r="M115" s="135"/>
      <c r="N115" s="135"/>
      <c r="O115" s="135"/>
      <c r="P115" s="130"/>
      <c r="Q115" s="127"/>
      <c r="R115" s="127"/>
      <c r="S115" s="127"/>
    </row>
    <row r="116" spans="1:19" s="163" customFormat="1" ht="12" customHeight="1">
      <c r="A116" s="136"/>
      <c r="B116" s="132"/>
      <c r="C116" s="137"/>
      <c r="D116" s="137"/>
      <c r="E116" s="137"/>
      <c r="F116" s="137"/>
      <c r="G116" s="137"/>
      <c r="H116" s="138"/>
      <c r="I116" s="139"/>
      <c r="J116" s="139"/>
      <c r="L116" s="135"/>
      <c r="M116" s="135"/>
      <c r="N116" s="135"/>
      <c r="O116" s="135"/>
      <c r="P116" s="130"/>
      <c r="Q116" s="127"/>
      <c r="R116" s="127"/>
      <c r="S116" s="127"/>
    </row>
    <row r="117" spans="1:19" s="163" customFormat="1" ht="12" customHeight="1">
      <c r="A117" s="136"/>
      <c r="B117" s="132"/>
      <c r="C117" s="137"/>
      <c r="D117" s="137"/>
      <c r="E117" s="137"/>
      <c r="F117" s="137"/>
      <c r="G117" s="137"/>
      <c r="H117" s="138"/>
      <c r="I117" s="139"/>
      <c r="J117" s="139"/>
      <c r="L117" s="135"/>
      <c r="M117" s="135"/>
      <c r="N117" s="135"/>
      <c r="O117" s="135"/>
      <c r="P117" s="130"/>
      <c r="Q117" s="127"/>
      <c r="R117" s="127"/>
      <c r="S117" s="127"/>
    </row>
    <row r="118" spans="1:19" s="163" customFormat="1" ht="12" customHeight="1">
      <c r="A118" s="136"/>
      <c r="B118" s="132"/>
      <c r="C118" s="137"/>
      <c r="D118" s="137"/>
      <c r="E118" s="137"/>
      <c r="F118" s="137"/>
      <c r="G118" s="137"/>
      <c r="H118" s="138"/>
      <c r="I118" s="139"/>
      <c r="J118" s="139"/>
      <c r="L118" s="135"/>
      <c r="M118" s="135"/>
      <c r="N118" s="135"/>
      <c r="O118" s="135"/>
      <c r="P118" s="130"/>
      <c r="Q118" s="127"/>
      <c r="R118" s="127"/>
      <c r="S118" s="127"/>
    </row>
    <row r="119" spans="1:19" s="163" customFormat="1" ht="12" customHeight="1">
      <c r="A119" s="136"/>
      <c r="B119" s="132"/>
      <c r="C119" s="137"/>
      <c r="D119" s="137"/>
      <c r="E119" s="137"/>
      <c r="F119" s="137"/>
      <c r="G119" s="137"/>
      <c r="H119" s="138"/>
      <c r="I119" s="139"/>
      <c r="J119" s="139"/>
      <c r="L119" s="135"/>
      <c r="M119" s="135"/>
      <c r="N119" s="135"/>
      <c r="O119" s="135"/>
      <c r="P119" s="130"/>
      <c r="Q119" s="127"/>
      <c r="R119" s="127"/>
      <c r="S119" s="127"/>
    </row>
    <row r="120" spans="1:19" s="163" customFormat="1" ht="12" customHeight="1">
      <c r="A120" s="136"/>
      <c r="B120" s="132"/>
      <c r="C120" s="137"/>
      <c r="D120" s="137"/>
      <c r="E120" s="137"/>
      <c r="F120" s="137"/>
      <c r="G120" s="137"/>
      <c r="H120" s="138"/>
      <c r="I120" s="139"/>
      <c r="J120" s="139"/>
      <c r="L120" s="135"/>
      <c r="M120" s="135"/>
      <c r="N120" s="135"/>
      <c r="O120" s="135"/>
      <c r="P120" s="130"/>
      <c r="Q120" s="127"/>
      <c r="R120" s="127"/>
      <c r="S120" s="127"/>
    </row>
    <row r="121" spans="1:19" s="163" customFormat="1" ht="12" customHeight="1">
      <c r="A121" s="136"/>
      <c r="B121" s="132"/>
      <c r="C121" s="137"/>
      <c r="D121" s="137"/>
      <c r="E121" s="137"/>
      <c r="F121" s="137"/>
      <c r="G121" s="137"/>
      <c r="H121" s="138"/>
      <c r="I121" s="139"/>
      <c r="J121" s="139"/>
      <c r="L121" s="135"/>
      <c r="M121" s="135"/>
      <c r="N121" s="135"/>
      <c r="O121" s="135"/>
      <c r="P121" s="130"/>
      <c r="Q121" s="127"/>
      <c r="R121" s="127"/>
      <c r="S121" s="127"/>
    </row>
    <row r="122" spans="1:19" s="163" customFormat="1" ht="12" customHeight="1">
      <c r="A122" s="136"/>
      <c r="B122" s="132"/>
      <c r="C122" s="137"/>
      <c r="D122" s="137"/>
      <c r="E122" s="137"/>
      <c r="F122" s="137"/>
      <c r="G122" s="137"/>
      <c r="H122" s="138"/>
      <c r="I122" s="139"/>
      <c r="J122" s="139"/>
      <c r="L122" s="135"/>
      <c r="M122" s="135"/>
      <c r="N122" s="135"/>
      <c r="O122" s="135"/>
      <c r="P122" s="130"/>
      <c r="Q122" s="127"/>
      <c r="R122" s="127"/>
      <c r="S122" s="127"/>
    </row>
    <row r="123" spans="1:19" s="163" customFormat="1" ht="12" customHeight="1">
      <c r="A123" s="136"/>
      <c r="B123" s="132"/>
      <c r="C123" s="137"/>
      <c r="D123" s="137"/>
      <c r="E123" s="137"/>
      <c r="F123" s="137"/>
      <c r="G123" s="137"/>
      <c r="H123" s="138"/>
      <c r="I123" s="139"/>
      <c r="J123" s="139"/>
      <c r="L123" s="135"/>
      <c r="M123" s="135"/>
      <c r="N123" s="135"/>
      <c r="O123" s="135"/>
      <c r="P123" s="130"/>
      <c r="Q123" s="127"/>
      <c r="R123" s="127"/>
      <c r="S123" s="127"/>
    </row>
    <row r="124" spans="1:19" s="163" customFormat="1" ht="12" customHeight="1">
      <c r="A124" s="136"/>
      <c r="B124" s="132"/>
      <c r="C124" s="137"/>
      <c r="D124" s="137"/>
      <c r="E124" s="137"/>
      <c r="F124" s="137"/>
      <c r="G124" s="137"/>
      <c r="H124" s="138"/>
      <c r="I124" s="139"/>
      <c r="J124" s="139"/>
      <c r="L124" s="135"/>
      <c r="M124" s="135"/>
      <c r="N124" s="135"/>
      <c r="O124" s="135"/>
      <c r="P124" s="130"/>
      <c r="Q124" s="127"/>
      <c r="R124" s="127"/>
      <c r="S124" s="127"/>
    </row>
  </sheetData>
  <mergeCells count="20">
    <mergeCell ref="R4:R5"/>
    <mergeCell ref="S4:S5"/>
    <mergeCell ref="A7:Q7"/>
    <mergeCell ref="A8:Q8"/>
    <mergeCell ref="B12:H12"/>
    <mergeCell ref="Q4:Q5"/>
    <mergeCell ref="P4:P5"/>
    <mergeCell ref="A4:A5"/>
    <mergeCell ref="B16:M16"/>
    <mergeCell ref="B9:O9"/>
    <mergeCell ref="E4:E5"/>
    <mergeCell ref="F4:H4"/>
    <mergeCell ref="B4:B5"/>
    <mergeCell ref="C4:C5"/>
    <mergeCell ref="D4:D5"/>
    <mergeCell ref="I4:K4"/>
    <mergeCell ref="L4:L5"/>
    <mergeCell ref="M4:M5"/>
    <mergeCell ref="N4:N5"/>
    <mergeCell ref="O4:O5"/>
  </mergeCells>
  <phoneticPr fontId="2" type="noConversion"/>
  <pageMargins left="0.74803149606299213" right="0.74803149606299213" top="0.78740157480314965" bottom="0.78740157480314965" header="0.51181102362204722" footer="0.51181102362204722"/>
  <pageSetup paperSize="9" scale="62" fitToHeight="3" orientation="landscape" r:id="rId1"/>
  <headerFooter alignWithMargins="0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T124"/>
  <sheetViews>
    <sheetView zoomScale="85" zoomScaleNormal="85" zoomScaleSheetLayoutView="85" workbookViewId="0">
      <pane xSplit="3" topLeftCell="D1" activePane="topRight" state="frozen"/>
      <selection activeCell="J9" sqref="J9"/>
      <selection pane="topRight" activeCell="B16" sqref="B16:M16"/>
    </sheetView>
  </sheetViews>
  <sheetFormatPr defaultRowHeight="12" customHeight="1"/>
  <cols>
    <col min="1" max="1" width="3.77734375" style="136" customWidth="1"/>
    <col min="2" max="2" width="25.21875" style="132" customWidth="1"/>
    <col min="3" max="3" width="28.33203125" style="132" customWidth="1"/>
    <col min="4" max="4" width="12.44140625" style="132" customWidth="1"/>
    <col min="5" max="5" width="9.6640625" style="132" bestFit="1" customWidth="1"/>
    <col min="6" max="7" width="10.33203125" style="132" bestFit="1" customWidth="1"/>
    <col min="8" max="8" width="9.6640625" style="133" bestFit="1" customWidth="1"/>
    <col min="9" max="9" width="10.33203125" style="140" bestFit="1" customWidth="1"/>
    <col min="10" max="10" width="10.109375" style="140" bestFit="1" customWidth="1"/>
    <col min="11" max="11" width="9.5546875" style="163" customWidth="1"/>
    <col min="12" max="12" width="8.44140625" style="135" bestFit="1" customWidth="1"/>
    <col min="13" max="13" width="8.44140625" style="135" customWidth="1"/>
    <col min="14" max="14" width="7.88671875" style="135" customWidth="1"/>
    <col min="15" max="15" width="6.33203125" style="135" customWidth="1"/>
    <col min="16" max="16" width="5.77734375" style="130" customWidth="1"/>
    <col min="17" max="17" width="5.33203125" style="127" customWidth="1"/>
    <col min="18" max="16384" width="8.88671875" style="127"/>
  </cols>
  <sheetData>
    <row r="1" spans="1:20" s="124" customFormat="1" ht="50.25" customHeight="1">
      <c r="A1" s="320"/>
      <c r="B1" s="515" t="s">
        <v>432</v>
      </c>
      <c r="C1" s="325" t="s">
        <v>682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s="123" customFormat="1" ht="9" customHeight="1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  <row r="9" spans="1:20" s="195" customFormat="1" ht="19.5" customHeight="1">
      <c r="A9" s="193" t="s">
        <v>0</v>
      </c>
      <c r="B9" s="989" t="s">
        <v>1</v>
      </c>
      <c r="C9" s="989"/>
      <c r="D9" s="989"/>
      <c r="E9" s="989"/>
      <c r="F9" s="989"/>
      <c r="G9" s="989"/>
      <c r="H9" s="989"/>
      <c r="I9" s="989"/>
      <c r="J9" s="989"/>
      <c r="K9" s="989"/>
      <c r="L9" s="989"/>
      <c r="M9" s="989"/>
      <c r="N9" s="989"/>
      <c r="O9" s="989"/>
      <c r="P9" s="194"/>
    </row>
    <row r="10" spans="1:20" s="160" customFormat="1" ht="18.75" customHeight="1">
      <c r="A10" s="248">
        <v>1</v>
      </c>
      <c r="B10" s="159" t="s">
        <v>2</v>
      </c>
      <c r="C10" s="159"/>
      <c r="D10" s="159"/>
      <c r="E10" s="159"/>
      <c r="F10" s="159"/>
      <c r="G10" s="159"/>
      <c r="K10" s="322"/>
      <c r="L10" s="161"/>
      <c r="M10" s="161"/>
      <c r="N10" s="161"/>
      <c r="O10" s="161"/>
    </row>
    <row r="11" spans="1:20" s="158" customFormat="1" ht="18.75" customHeight="1">
      <c r="A11" s="248">
        <v>2</v>
      </c>
      <c r="B11" s="159" t="s">
        <v>3</v>
      </c>
      <c r="C11" s="159"/>
      <c r="D11" s="159"/>
      <c r="E11" s="159"/>
      <c r="F11" s="162"/>
      <c r="G11" s="162"/>
      <c r="H11" s="162"/>
      <c r="I11" s="162"/>
      <c r="J11" s="162"/>
      <c r="K11" s="160"/>
    </row>
    <row r="12" spans="1:20" s="158" customFormat="1" ht="42.75" customHeight="1">
      <c r="A12" s="248">
        <v>3</v>
      </c>
      <c r="B12" s="990" t="s">
        <v>4</v>
      </c>
      <c r="C12" s="990"/>
      <c r="D12" s="990"/>
      <c r="E12" s="990"/>
      <c r="F12" s="990"/>
      <c r="G12" s="990"/>
      <c r="H12" s="990"/>
      <c r="I12" s="162"/>
      <c r="J12" s="162"/>
      <c r="K12" s="160"/>
    </row>
    <row r="13" spans="1:20" s="158" customFormat="1" ht="18.75" customHeight="1">
      <c r="A13" s="248">
        <v>4</v>
      </c>
      <c r="B13" s="158" t="s">
        <v>5</v>
      </c>
      <c r="C13" s="159"/>
      <c r="D13" s="159"/>
      <c r="E13" s="159"/>
      <c r="F13" s="162"/>
      <c r="G13" s="162"/>
      <c r="H13" s="162"/>
      <c r="I13" s="162"/>
      <c r="J13" s="162"/>
      <c r="K13" s="160"/>
    </row>
    <row r="14" spans="1:20" s="158" customFormat="1" ht="18.75" customHeight="1">
      <c r="A14" s="248">
        <v>5</v>
      </c>
      <c r="B14" s="159" t="s">
        <v>6</v>
      </c>
      <c r="C14" s="159"/>
      <c r="D14" s="159"/>
      <c r="E14" s="159"/>
      <c r="F14" s="162"/>
      <c r="G14" s="162"/>
      <c r="H14" s="162"/>
      <c r="I14" s="162"/>
      <c r="J14" s="162"/>
      <c r="K14" s="160"/>
    </row>
    <row r="15" spans="1:20" s="158" customFormat="1" ht="18.75" customHeight="1">
      <c r="A15" s="248">
        <v>6</v>
      </c>
      <c r="B15" s="159" t="s">
        <v>7</v>
      </c>
      <c r="C15" s="159"/>
      <c r="D15" s="159"/>
      <c r="E15" s="159"/>
      <c r="F15" s="159"/>
      <c r="G15" s="159"/>
      <c r="H15" s="160"/>
      <c r="I15" s="162"/>
      <c r="J15" s="162"/>
      <c r="K15" s="160"/>
    </row>
    <row r="16" spans="1:20" s="160" customFormat="1" ht="55.5" customHeight="1">
      <c r="A16" s="248">
        <v>7</v>
      </c>
      <c r="B16" s="991" t="s">
        <v>8</v>
      </c>
      <c r="C16" s="991"/>
      <c r="D16" s="991"/>
      <c r="E16" s="991"/>
      <c r="F16" s="991"/>
      <c r="G16" s="991"/>
      <c r="H16" s="991"/>
      <c r="I16" s="991"/>
      <c r="J16" s="991"/>
      <c r="K16" s="991"/>
      <c r="L16" s="991"/>
      <c r="M16" s="991"/>
      <c r="N16" s="161"/>
      <c r="O16" s="161"/>
    </row>
    <row r="17" spans="1:16" s="160" customFormat="1" ht="18.75" customHeight="1">
      <c r="A17" s="248">
        <v>8</v>
      </c>
      <c r="B17" s="159" t="s">
        <v>9</v>
      </c>
      <c r="C17" s="159"/>
      <c r="D17" s="159"/>
      <c r="E17" s="159"/>
      <c r="F17" s="159"/>
      <c r="G17" s="159"/>
      <c r="K17" s="322"/>
      <c r="L17" s="161"/>
      <c r="M17" s="161"/>
      <c r="N17" s="161"/>
      <c r="O17" s="161"/>
    </row>
    <row r="18" spans="1:16" s="160" customFormat="1" ht="18.75" customHeight="1">
      <c r="A18" s="248">
        <v>9</v>
      </c>
      <c r="B18" s="165" t="s">
        <v>10</v>
      </c>
      <c r="C18" s="165"/>
      <c r="D18" s="165"/>
      <c r="E18" s="165"/>
      <c r="F18" s="159"/>
      <c r="G18" s="159"/>
      <c r="K18" s="322"/>
      <c r="L18" s="161"/>
      <c r="M18" s="161"/>
      <c r="N18" s="161"/>
      <c r="O18" s="161"/>
    </row>
    <row r="19" spans="1:16" s="160" customFormat="1" ht="15" customHeight="1">
      <c r="B19" s="165"/>
      <c r="C19" s="165"/>
      <c r="D19" s="165"/>
      <c r="E19" s="165"/>
      <c r="F19" s="159"/>
      <c r="G19" s="159"/>
      <c r="K19" s="322"/>
      <c r="L19" s="161"/>
      <c r="M19" s="161"/>
      <c r="N19" s="161"/>
      <c r="O19" s="161"/>
    </row>
    <row r="20" spans="1:16" s="160" customFormat="1" ht="15" customHeight="1">
      <c r="B20" s="165"/>
      <c r="C20" s="165"/>
      <c r="D20" s="165"/>
      <c r="E20" s="165"/>
      <c r="F20" s="159"/>
      <c r="G20" s="159"/>
      <c r="K20" s="322"/>
      <c r="L20" s="161"/>
      <c r="M20" s="161"/>
      <c r="N20" s="161"/>
      <c r="O20" s="161"/>
    </row>
    <row r="21" spans="1:16" s="195" customFormat="1" ht="15" customHeight="1">
      <c r="A21" s="159"/>
      <c r="B21" s="159"/>
      <c r="C21" s="159"/>
      <c r="D21" s="159"/>
      <c r="E21" s="159"/>
      <c r="F21" s="196"/>
      <c r="G21" s="196"/>
      <c r="H21" s="160"/>
      <c r="I21" s="160"/>
      <c r="J21" s="160"/>
      <c r="K21" s="209"/>
      <c r="L21" s="197"/>
      <c r="M21" s="197"/>
      <c r="N21" s="197"/>
      <c r="O21" s="197"/>
      <c r="P21" s="198"/>
    </row>
    <row r="22" spans="1:16" ht="15" customHeight="1">
      <c r="B22" s="145"/>
      <c r="C22" s="145"/>
      <c r="D22" s="145"/>
      <c r="E22" s="145"/>
      <c r="F22" s="137"/>
      <c r="G22" s="137"/>
      <c r="H22" s="138"/>
      <c r="I22" s="139"/>
      <c r="J22" s="139"/>
    </row>
    <row r="23" spans="1:16" ht="15" customHeight="1">
      <c r="C23" s="137"/>
      <c r="D23" s="137"/>
      <c r="E23" s="137"/>
      <c r="F23" s="137"/>
      <c r="G23" s="137"/>
      <c r="H23" s="138"/>
      <c r="I23" s="139"/>
      <c r="J23" s="139"/>
    </row>
    <row r="24" spans="1:16" ht="15" customHeight="1">
      <c r="C24" s="137"/>
      <c r="D24" s="137"/>
      <c r="E24" s="137"/>
      <c r="F24" s="137"/>
      <c r="G24" s="137"/>
      <c r="H24" s="138"/>
      <c r="I24" s="139"/>
      <c r="J24" s="139"/>
    </row>
    <row r="25" spans="1:16" ht="12" customHeight="1">
      <c r="C25" s="137"/>
      <c r="D25" s="137"/>
      <c r="E25" s="137"/>
      <c r="F25" s="137"/>
      <c r="G25" s="137"/>
      <c r="H25" s="138"/>
      <c r="I25" s="139"/>
      <c r="J25" s="139"/>
    </row>
    <row r="26" spans="1:16" ht="12" customHeight="1">
      <c r="C26" s="137"/>
      <c r="D26" s="137"/>
      <c r="E26" s="137"/>
      <c r="F26" s="137"/>
      <c r="G26" s="137"/>
      <c r="H26" s="138"/>
      <c r="I26" s="139"/>
      <c r="J26" s="139"/>
    </row>
    <row r="27" spans="1:16" ht="12" customHeight="1">
      <c r="C27" s="137"/>
      <c r="D27" s="137"/>
      <c r="E27" s="137"/>
      <c r="F27" s="137"/>
      <c r="G27" s="137"/>
      <c r="H27" s="138"/>
      <c r="I27" s="139"/>
      <c r="J27" s="139"/>
    </row>
    <row r="28" spans="1:16" ht="12" customHeight="1">
      <c r="C28" s="137"/>
      <c r="D28" s="137"/>
      <c r="E28" s="137"/>
      <c r="F28" s="137"/>
      <c r="G28" s="137"/>
      <c r="H28" s="138"/>
      <c r="I28" s="139"/>
      <c r="J28" s="139"/>
    </row>
    <row r="29" spans="1:16" ht="12" customHeight="1">
      <c r="C29" s="137"/>
      <c r="D29" s="137"/>
      <c r="E29" s="137"/>
      <c r="F29" s="137"/>
      <c r="G29" s="137"/>
      <c r="H29" s="138"/>
      <c r="I29" s="139"/>
      <c r="J29" s="139"/>
    </row>
    <row r="30" spans="1:16" ht="12" customHeight="1">
      <c r="C30" s="137"/>
      <c r="D30" s="137"/>
      <c r="E30" s="137"/>
      <c r="F30" s="137"/>
      <c r="G30" s="137"/>
      <c r="H30" s="138"/>
      <c r="I30" s="139"/>
      <c r="J30" s="139"/>
    </row>
    <row r="31" spans="1:16" ht="12" customHeight="1">
      <c r="C31" s="137"/>
      <c r="D31" s="137"/>
      <c r="E31" s="137"/>
      <c r="F31" s="137"/>
      <c r="G31" s="137"/>
      <c r="H31" s="138"/>
      <c r="I31" s="139"/>
      <c r="J31" s="139"/>
    </row>
    <row r="32" spans="1:16" ht="12" customHeight="1">
      <c r="C32" s="137"/>
      <c r="D32" s="137"/>
      <c r="E32" s="137"/>
      <c r="F32" s="137"/>
      <c r="G32" s="137"/>
      <c r="H32" s="138"/>
      <c r="I32" s="139"/>
      <c r="J32" s="139"/>
    </row>
    <row r="33" spans="1:19" ht="12" customHeight="1">
      <c r="C33" s="137"/>
      <c r="D33" s="137"/>
      <c r="E33" s="137"/>
      <c r="F33" s="137"/>
      <c r="G33" s="137"/>
      <c r="H33" s="138"/>
      <c r="I33" s="139"/>
      <c r="J33" s="139"/>
    </row>
    <row r="34" spans="1:19" s="163" customFormat="1" ht="12" customHeight="1">
      <c r="A34" s="136"/>
      <c r="B34" s="132"/>
      <c r="C34" s="137"/>
      <c r="D34" s="137"/>
      <c r="E34" s="137"/>
      <c r="F34" s="137"/>
      <c r="G34" s="137"/>
      <c r="H34" s="138"/>
      <c r="I34" s="139"/>
      <c r="J34" s="139"/>
      <c r="L34" s="135"/>
      <c r="M34" s="135"/>
      <c r="N34" s="135"/>
      <c r="O34" s="135"/>
      <c r="P34" s="130"/>
      <c r="Q34" s="127"/>
      <c r="R34" s="127"/>
      <c r="S34" s="127"/>
    </row>
    <row r="35" spans="1:19" s="163" customFormat="1" ht="12" customHeight="1">
      <c r="A35" s="136"/>
      <c r="B35" s="132"/>
      <c r="C35" s="137"/>
      <c r="D35" s="137"/>
      <c r="E35" s="137"/>
      <c r="F35" s="137"/>
      <c r="G35" s="137"/>
      <c r="H35" s="138"/>
      <c r="I35" s="139"/>
      <c r="J35" s="139"/>
      <c r="L35" s="135"/>
      <c r="M35" s="135"/>
      <c r="N35" s="135"/>
      <c r="O35" s="135"/>
      <c r="P35" s="130"/>
      <c r="Q35" s="127"/>
      <c r="R35" s="127"/>
      <c r="S35" s="127"/>
    </row>
    <row r="36" spans="1:19" s="163" customFormat="1" ht="12" customHeight="1">
      <c r="A36" s="136"/>
      <c r="B36" s="132"/>
      <c r="C36" s="137"/>
      <c r="D36" s="137"/>
      <c r="E36" s="137"/>
      <c r="F36" s="137"/>
      <c r="G36" s="137"/>
      <c r="H36" s="138"/>
      <c r="I36" s="139"/>
      <c r="J36" s="139"/>
      <c r="L36" s="135"/>
      <c r="M36" s="135"/>
      <c r="N36" s="135"/>
      <c r="O36" s="135"/>
      <c r="P36" s="130"/>
      <c r="Q36" s="127"/>
      <c r="R36" s="127"/>
      <c r="S36" s="127"/>
    </row>
    <row r="37" spans="1:19" s="163" customFormat="1" ht="12" customHeight="1">
      <c r="A37" s="136"/>
      <c r="B37" s="132"/>
      <c r="C37" s="137"/>
      <c r="D37" s="137"/>
      <c r="E37" s="137"/>
      <c r="F37" s="137"/>
      <c r="G37" s="137"/>
      <c r="H37" s="138"/>
      <c r="I37" s="139"/>
      <c r="J37" s="139"/>
      <c r="L37" s="135"/>
      <c r="M37" s="135"/>
      <c r="N37" s="135"/>
      <c r="O37" s="135"/>
      <c r="P37" s="130"/>
      <c r="Q37" s="127"/>
      <c r="R37" s="127"/>
      <c r="S37" s="127"/>
    </row>
    <row r="38" spans="1:19" s="163" customFormat="1" ht="12" customHeight="1">
      <c r="A38" s="136"/>
      <c r="B38" s="132"/>
      <c r="C38" s="137"/>
      <c r="D38" s="137"/>
      <c r="E38" s="137"/>
      <c r="F38" s="137"/>
      <c r="G38" s="137"/>
      <c r="H38" s="138"/>
      <c r="I38" s="139"/>
      <c r="J38" s="139"/>
      <c r="L38" s="135"/>
      <c r="M38" s="135"/>
      <c r="N38" s="135"/>
      <c r="O38" s="135"/>
      <c r="P38" s="130"/>
      <c r="Q38" s="127"/>
      <c r="R38" s="127"/>
      <c r="S38" s="127"/>
    </row>
    <row r="39" spans="1:19" s="163" customFormat="1" ht="12" customHeight="1">
      <c r="A39" s="136"/>
      <c r="B39" s="132"/>
      <c r="C39" s="137"/>
      <c r="D39" s="137"/>
      <c r="E39" s="137"/>
      <c r="F39" s="137"/>
      <c r="G39" s="137"/>
      <c r="H39" s="138"/>
      <c r="I39" s="139"/>
      <c r="J39" s="139"/>
      <c r="L39" s="135"/>
      <c r="M39" s="135"/>
      <c r="N39" s="135"/>
      <c r="O39" s="135"/>
      <c r="P39" s="130"/>
      <c r="Q39" s="127"/>
      <c r="R39" s="127"/>
      <c r="S39" s="127"/>
    </row>
    <row r="40" spans="1:19" s="163" customFormat="1" ht="12" customHeight="1">
      <c r="A40" s="136"/>
      <c r="B40" s="132"/>
      <c r="C40" s="137"/>
      <c r="D40" s="137"/>
      <c r="E40" s="137"/>
      <c r="F40" s="137"/>
      <c r="G40" s="137"/>
      <c r="H40" s="138"/>
      <c r="I40" s="139"/>
      <c r="J40" s="139"/>
      <c r="L40" s="135"/>
      <c r="M40" s="135"/>
      <c r="N40" s="135"/>
      <c r="O40" s="135"/>
      <c r="P40" s="130"/>
      <c r="Q40" s="127"/>
      <c r="R40" s="127"/>
      <c r="S40" s="127"/>
    </row>
    <row r="41" spans="1:19" s="163" customFormat="1" ht="12" customHeight="1">
      <c r="A41" s="136"/>
      <c r="B41" s="132"/>
      <c r="C41" s="137"/>
      <c r="D41" s="137"/>
      <c r="E41" s="137"/>
      <c r="F41" s="137"/>
      <c r="G41" s="137"/>
      <c r="H41" s="138"/>
      <c r="I41" s="139"/>
      <c r="J41" s="139"/>
      <c r="L41" s="135"/>
      <c r="M41" s="135"/>
      <c r="N41" s="135"/>
      <c r="O41" s="135"/>
      <c r="P41" s="130"/>
      <c r="Q41" s="127"/>
      <c r="R41" s="127"/>
      <c r="S41" s="127"/>
    </row>
    <row r="42" spans="1:19" s="163" customFormat="1" ht="12" customHeight="1">
      <c r="A42" s="136"/>
      <c r="B42" s="132"/>
      <c r="C42" s="137"/>
      <c r="D42" s="137"/>
      <c r="E42" s="137"/>
      <c r="F42" s="137"/>
      <c r="G42" s="137"/>
      <c r="H42" s="138"/>
      <c r="I42" s="139"/>
      <c r="J42" s="139"/>
      <c r="L42" s="135"/>
      <c r="M42" s="135"/>
      <c r="N42" s="135"/>
      <c r="O42" s="135"/>
      <c r="P42" s="130"/>
      <c r="Q42" s="127"/>
      <c r="R42" s="127"/>
      <c r="S42" s="127"/>
    </row>
    <row r="43" spans="1:19" s="163" customFormat="1" ht="12" customHeight="1">
      <c r="A43" s="136"/>
      <c r="B43" s="132"/>
      <c r="C43" s="137"/>
      <c r="D43" s="137"/>
      <c r="E43" s="137"/>
      <c r="F43" s="137"/>
      <c r="G43" s="137"/>
      <c r="H43" s="138"/>
      <c r="I43" s="139"/>
      <c r="J43" s="139"/>
      <c r="L43" s="135"/>
      <c r="M43" s="135"/>
      <c r="N43" s="135"/>
      <c r="O43" s="135"/>
      <c r="P43" s="130"/>
      <c r="Q43" s="127"/>
      <c r="R43" s="127"/>
      <c r="S43" s="127"/>
    </row>
    <row r="44" spans="1:19" s="163" customFormat="1" ht="12" customHeight="1">
      <c r="A44" s="136"/>
      <c r="B44" s="132"/>
      <c r="C44" s="137"/>
      <c r="D44" s="137"/>
      <c r="E44" s="137"/>
      <c r="F44" s="137"/>
      <c r="G44" s="137"/>
      <c r="H44" s="138"/>
      <c r="I44" s="139"/>
      <c r="J44" s="139"/>
      <c r="L44" s="135"/>
      <c r="M44" s="135"/>
      <c r="N44" s="135"/>
      <c r="O44" s="135"/>
      <c r="P44" s="130"/>
      <c r="Q44" s="127"/>
      <c r="R44" s="127"/>
      <c r="S44" s="127"/>
    </row>
    <row r="45" spans="1:19" s="163" customFormat="1" ht="12" customHeight="1">
      <c r="A45" s="136"/>
      <c r="B45" s="132"/>
      <c r="C45" s="137"/>
      <c r="D45" s="137"/>
      <c r="E45" s="137"/>
      <c r="F45" s="137"/>
      <c r="G45" s="137"/>
      <c r="H45" s="138"/>
      <c r="I45" s="139"/>
      <c r="J45" s="139"/>
      <c r="L45" s="135"/>
      <c r="M45" s="135"/>
      <c r="N45" s="135"/>
      <c r="O45" s="135"/>
      <c r="P45" s="130"/>
      <c r="Q45" s="127"/>
      <c r="R45" s="127"/>
      <c r="S45" s="127"/>
    </row>
    <row r="46" spans="1:19" s="163" customFormat="1" ht="12" customHeight="1">
      <c r="A46" s="136"/>
      <c r="B46" s="132"/>
      <c r="C46" s="137"/>
      <c r="D46" s="137"/>
      <c r="E46" s="137"/>
      <c r="F46" s="137"/>
      <c r="G46" s="137"/>
      <c r="H46" s="138"/>
      <c r="I46" s="139"/>
      <c r="J46" s="139"/>
      <c r="L46" s="135"/>
      <c r="M46" s="135"/>
      <c r="N46" s="135"/>
      <c r="O46" s="135"/>
      <c r="P46" s="130"/>
      <c r="Q46" s="127"/>
      <c r="R46" s="127"/>
      <c r="S46" s="127"/>
    </row>
    <row r="47" spans="1:19" s="163" customFormat="1" ht="12" customHeight="1">
      <c r="A47" s="136"/>
      <c r="B47" s="132"/>
      <c r="C47" s="137"/>
      <c r="D47" s="137"/>
      <c r="E47" s="137"/>
      <c r="F47" s="137"/>
      <c r="G47" s="137"/>
      <c r="H47" s="138"/>
      <c r="I47" s="139"/>
      <c r="J47" s="139"/>
      <c r="L47" s="135"/>
      <c r="M47" s="135"/>
      <c r="N47" s="135"/>
      <c r="O47" s="135"/>
      <c r="P47" s="130"/>
      <c r="Q47" s="127"/>
      <c r="R47" s="127"/>
      <c r="S47" s="127"/>
    </row>
    <row r="48" spans="1:19" s="163" customFormat="1" ht="12" customHeight="1">
      <c r="A48" s="136"/>
      <c r="B48" s="132"/>
      <c r="C48" s="137"/>
      <c r="D48" s="137"/>
      <c r="E48" s="137"/>
      <c r="F48" s="137"/>
      <c r="G48" s="137"/>
      <c r="H48" s="138"/>
      <c r="I48" s="139"/>
      <c r="J48" s="139"/>
      <c r="L48" s="135"/>
      <c r="M48" s="135"/>
      <c r="N48" s="135"/>
      <c r="O48" s="135"/>
      <c r="P48" s="130"/>
      <c r="Q48" s="127"/>
      <c r="R48" s="127"/>
      <c r="S48" s="127"/>
    </row>
    <row r="49" spans="1:19" s="163" customFormat="1" ht="12" customHeight="1">
      <c r="A49" s="136"/>
      <c r="B49" s="132"/>
      <c r="C49" s="137"/>
      <c r="D49" s="137"/>
      <c r="E49" s="137"/>
      <c r="F49" s="137"/>
      <c r="G49" s="137"/>
      <c r="H49" s="138"/>
      <c r="I49" s="139"/>
      <c r="J49" s="139"/>
      <c r="L49" s="135"/>
      <c r="M49" s="135"/>
      <c r="N49" s="135"/>
      <c r="O49" s="135"/>
      <c r="P49" s="130"/>
      <c r="Q49" s="127"/>
      <c r="R49" s="127"/>
      <c r="S49" s="127"/>
    </row>
    <row r="50" spans="1:19" s="163" customFormat="1" ht="12" customHeight="1">
      <c r="A50" s="136"/>
      <c r="B50" s="132"/>
      <c r="C50" s="137"/>
      <c r="D50" s="137"/>
      <c r="E50" s="137"/>
      <c r="F50" s="137"/>
      <c r="G50" s="137"/>
      <c r="H50" s="138"/>
      <c r="I50" s="139"/>
      <c r="J50" s="139"/>
      <c r="L50" s="135"/>
      <c r="M50" s="135"/>
      <c r="N50" s="135"/>
      <c r="O50" s="135"/>
      <c r="P50" s="130"/>
      <c r="Q50" s="127"/>
      <c r="R50" s="127"/>
      <c r="S50" s="127"/>
    </row>
    <row r="51" spans="1:19" s="163" customFormat="1" ht="12" customHeight="1">
      <c r="A51" s="136"/>
      <c r="B51" s="132"/>
      <c r="C51" s="137"/>
      <c r="D51" s="137"/>
      <c r="E51" s="137"/>
      <c r="F51" s="137"/>
      <c r="G51" s="137"/>
      <c r="H51" s="138"/>
      <c r="I51" s="139"/>
      <c r="J51" s="139"/>
      <c r="L51" s="135"/>
      <c r="M51" s="135"/>
      <c r="N51" s="135"/>
      <c r="O51" s="135"/>
      <c r="P51" s="130"/>
      <c r="Q51" s="127"/>
      <c r="R51" s="127"/>
      <c r="S51" s="127"/>
    </row>
    <row r="52" spans="1:19" s="163" customFormat="1" ht="12" customHeight="1">
      <c r="A52" s="136"/>
      <c r="B52" s="132"/>
      <c r="C52" s="137"/>
      <c r="D52" s="137"/>
      <c r="E52" s="137"/>
      <c r="F52" s="137"/>
      <c r="G52" s="137"/>
      <c r="H52" s="138"/>
      <c r="I52" s="139"/>
      <c r="J52" s="139"/>
      <c r="L52" s="135"/>
      <c r="M52" s="135"/>
      <c r="N52" s="135"/>
      <c r="O52" s="135"/>
      <c r="P52" s="130"/>
      <c r="Q52" s="127"/>
      <c r="R52" s="127"/>
      <c r="S52" s="127"/>
    </row>
    <row r="53" spans="1:19" s="163" customFormat="1" ht="12" customHeight="1">
      <c r="A53" s="136"/>
      <c r="B53" s="132"/>
      <c r="C53" s="137"/>
      <c r="D53" s="137"/>
      <c r="E53" s="137"/>
      <c r="F53" s="137"/>
      <c r="G53" s="137"/>
      <c r="H53" s="138"/>
      <c r="I53" s="139"/>
      <c r="J53" s="139"/>
      <c r="L53" s="135"/>
      <c r="M53" s="135"/>
      <c r="N53" s="135"/>
      <c r="O53" s="135"/>
      <c r="P53" s="130"/>
      <c r="Q53" s="127"/>
      <c r="R53" s="127"/>
      <c r="S53" s="127"/>
    </row>
    <row r="54" spans="1:19" s="163" customFormat="1" ht="12" customHeight="1">
      <c r="A54" s="136"/>
      <c r="B54" s="132"/>
      <c r="C54" s="137"/>
      <c r="D54" s="137"/>
      <c r="E54" s="137"/>
      <c r="F54" s="137"/>
      <c r="G54" s="137"/>
      <c r="H54" s="138"/>
      <c r="I54" s="139"/>
      <c r="J54" s="139"/>
      <c r="L54" s="135"/>
      <c r="M54" s="135"/>
      <c r="N54" s="135"/>
      <c r="O54" s="135"/>
      <c r="P54" s="130"/>
      <c r="Q54" s="127"/>
      <c r="R54" s="127"/>
      <c r="S54" s="127"/>
    </row>
    <row r="55" spans="1:19" s="163" customFormat="1" ht="12" customHeight="1">
      <c r="A55" s="136"/>
      <c r="B55" s="132"/>
      <c r="C55" s="137"/>
      <c r="D55" s="137"/>
      <c r="E55" s="137"/>
      <c r="F55" s="137"/>
      <c r="G55" s="137"/>
      <c r="H55" s="138"/>
      <c r="I55" s="139"/>
      <c r="J55" s="139"/>
      <c r="L55" s="135"/>
      <c r="M55" s="135"/>
      <c r="N55" s="135"/>
      <c r="O55" s="135"/>
      <c r="P55" s="130"/>
      <c r="Q55" s="127"/>
      <c r="R55" s="127"/>
      <c r="S55" s="127"/>
    </row>
    <row r="56" spans="1:19" s="163" customFormat="1" ht="12" customHeight="1">
      <c r="A56" s="136"/>
      <c r="B56" s="132"/>
      <c r="C56" s="137"/>
      <c r="D56" s="137"/>
      <c r="E56" s="137"/>
      <c r="F56" s="137"/>
      <c r="G56" s="137"/>
      <c r="H56" s="138"/>
      <c r="I56" s="139"/>
      <c r="J56" s="139"/>
      <c r="L56" s="135"/>
      <c r="M56" s="135"/>
      <c r="N56" s="135"/>
      <c r="O56" s="135"/>
      <c r="P56" s="130"/>
      <c r="Q56" s="127"/>
      <c r="R56" s="127"/>
      <c r="S56" s="127"/>
    </row>
    <row r="57" spans="1:19" s="163" customFormat="1" ht="12" customHeight="1">
      <c r="A57" s="136"/>
      <c r="B57" s="132"/>
      <c r="C57" s="137"/>
      <c r="D57" s="137"/>
      <c r="E57" s="137"/>
      <c r="F57" s="137"/>
      <c r="G57" s="137"/>
      <c r="H57" s="138"/>
      <c r="I57" s="139"/>
      <c r="J57" s="139"/>
      <c r="L57" s="135"/>
      <c r="M57" s="135"/>
      <c r="N57" s="135"/>
      <c r="O57" s="135"/>
      <c r="P57" s="130"/>
      <c r="Q57" s="127"/>
      <c r="R57" s="127"/>
      <c r="S57" s="127"/>
    </row>
    <row r="58" spans="1:19" s="163" customFormat="1" ht="12" customHeight="1">
      <c r="A58" s="136"/>
      <c r="B58" s="132"/>
      <c r="C58" s="137"/>
      <c r="D58" s="137"/>
      <c r="E58" s="137"/>
      <c r="F58" s="137"/>
      <c r="G58" s="137"/>
      <c r="H58" s="138"/>
      <c r="I58" s="139"/>
      <c r="J58" s="139"/>
      <c r="L58" s="135"/>
      <c r="M58" s="135"/>
      <c r="N58" s="135"/>
      <c r="O58" s="135"/>
      <c r="P58" s="130"/>
      <c r="Q58" s="127"/>
      <c r="R58" s="127"/>
      <c r="S58" s="127"/>
    </row>
    <row r="59" spans="1:19" s="163" customFormat="1" ht="12" customHeight="1">
      <c r="A59" s="136"/>
      <c r="B59" s="132"/>
      <c r="C59" s="137"/>
      <c r="D59" s="137"/>
      <c r="E59" s="137"/>
      <c r="F59" s="137"/>
      <c r="G59" s="137"/>
      <c r="H59" s="138"/>
      <c r="I59" s="139"/>
      <c r="J59" s="139"/>
      <c r="L59" s="135"/>
      <c r="M59" s="135"/>
      <c r="N59" s="135"/>
      <c r="O59" s="135"/>
      <c r="P59" s="130"/>
      <c r="Q59" s="127"/>
      <c r="R59" s="127"/>
      <c r="S59" s="127"/>
    </row>
    <row r="60" spans="1:19" s="163" customFormat="1" ht="12" customHeight="1">
      <c r="A60" s="136"/>
      <c r="B60" s="132"/>
      <c r="C60" s="137"/>
      <c r="D60" s="137"/>
      <c r="E60" s="137"/>
      <c r="F60" s="137"/>
      <c r="G60" s="137"/>
      <c r="H60" s="138"/>
      <c r="I60" s="139"/>
      <c r="J60" s="139"/>
      <c r="L60" s="135"/>
      <c r="M60" s="135"/>
      <c r="N60" s="135"/>
      <c r="O60" s="135"/>
      <c r="P60" s="130"/>
      <c r="Q60" s="127"/>
      <c r="R60" s="127"/>
      <c r="S60" s="127"/>
    </row>
    <row r="61" spans="1:19" s="163" customFormat="1" ht="12" customHeight="1">
      <c r="A61" s="136"/>
      <c r="B61" s="132"/>
      <c r="C61" s="137"/>
      <c r="D61" s="137"/>
      <c r="E61" s="137"/>
      <c r="F61" s="137"/>
      <c r="G61" s="137"/>
      <c r="H61" s="138"/>
      <c r="I61" s="139"/>
      <c r="J61" s="139"/>
      <c r="L61" s="135"/>
      <c r="M61" s="135"/>
      <c r="N61" s="135"/>
      <c r="O61" s="135"/>
      <c r="P61" s="130"/>
      <c r="Q61" s="127"/>
      <c r="R61" s="127"/>
      <c r="S61" s="127"/>
    </row>
    <row r="62" spans="1:19" s="163" customFormat="1" ht="12" customHeight="1">
      <c r="A62" s="136"/>
      <c r="B62" s="132"/>
      <c r="C62" s="137"/>
      <c r="D62" s="137"/>
      <c r="E62" s="137"/>
      <c r="F62" s="137"/>
      <c r="G62" s="137"/>
      <c r="H62" s="138"/>
      <c r="I62" s="139"/>
      <c r="J62" s="139"/>
      <c r="L62" s="135"/>
      <c r="M62" s="135"/>
      <c r="N62" s="135"/>
      <c r="O62" s="135"/>
      <c r="P62" s="130"/>
      <c r="Q62" s="127"/>
      <c r="R62" s="127"/>
      <c r="S62" s="127"/>
    </row>
    <row r="63" spans="1:19" s="163" customFormat="1" ht="12" customHeight="1">
      <c r="A63" s="136"/>
      <c r="B63" s="132"/>
      <c r="C63" s="137"/>
      <c r="D63" s="137"/>
      <c r="E63" s="137"/>
      <c r="F63" s="137"/>
      <c r="G63" s="137"/>
      <c r="H63" s="138"/>
      <c r="I63" s="139"/>
      <c r="J63" s="139"/>
      <c r="L63" s="135"/>
      <c r="M63" s="135"/>
      <c r="N63" s="135"/>
      <c r="O63" s="135"/>
      <c r="P63" s="130"/>
      <c r="Q63" s="127"/>
      <c r="R63" s="127"/>
      <c r="S63" s="127"/>
    </row>
    <row r="64" spans="1:19" s="163" customFormat="1" ht="12" customHeight="1">
      <c r="A64" s="136"/>
      <c r="B64" s="132"/>
      <c r="C64" s="137"/>
      <c r="D64" s="137"/>
      <c r="E64" s="137"/>
      <c r="F64" s="137"/>
      <c r="G64" s="137"/>
      <c r="H64" s="138"/>
      <c r="I64" s="139"/>
      <c r="J64" s="139"/>
      <c r="L64" s="135"/>
      <c r="M64" s="135"/>
      <c r="N64" s="135"/>
      <c r="O64" s="135"/>
      <c r="P64" s="130"/>
      <c r="Q64" s="127"/>
      <c r="R64" s="127"/>
      <c r="S64" s="127"/>
    </row>
    <row r="65" spans="1:19" s="163" customFormat="1" ht="12" customHeight="1">
      <c r="A65" s="136"/>
      <c r="B65" s="132"/>
      <c r="C65" s="137"/>
      <c r="D65" s="137"/>
      <c r="E65" s="137"/>
      <c r="F65" s="137"/>
      <c r="G65" s="137"/>
      <c r="H65" s="138"/>
      <c r="I65" s="139"/>
      <c r="J65" s="139"/>
      <c r="L65" s="135"/>
      <c r="M65" s="135"/>
      <c r="N65" s="135"/>
      <c r="O65" s="135"/>
      <c r="P65" s="130"/>
      <c r="Q65" s="127"/>
      <c r="R65" s="127"/>
      <c r="S65" s="127"/>
    </row>
    <row r="66" spans="1:19" s="163" customFormat="1" ht="12" customHeight="1">
      <c r="A66" s="136"/>
      <c r="B66" s="132"/>
      <c r="C66" s="137"/>
      <c r="D66" s="137"/>
      <c r="E66" s="137"/>
      <c r="F66" s="137"/>
      <c r="G66" s="137"/>
      <c r="H66" s="138"/>
      <c r="I66" s="139"/>
      <c r="J66" s="139"/>
      <c r="L66" s="135"/>
      <c r="M66" s="135"/>
      <c r="N66" s="135"/>
      <c r="O66" s="135"/>
      <c r="P66" s="130"/>
      <c r="Q66" s="127"/>
      <c r="R66" s="127"/>
      <c r="S66" s="127"/>
    </row>
    <row r="67" spans="1:19" s="163" customFormat="1" ht="12" customHeight="1">
      <c r="A67" s="136"/>
      <c r="B67" s="132"/>
      <c r="C67" s="137"/>
      <c r="D67" s="137"/>
      <c r="E67" s="137"/>
      <c r="F67" s="137"/>
      <c r="G67" s="137"/>
      <c r="H67" s="138"/>
      <c r="I67" s="139"/>
      <c r="J67" s="139"/>
      <c r="L67" s="135"/>
      <c r="M67" s="135"/>
      <c r="N67" s="135"/>
      <c r="O67" s="135"/>
      <c r="P67" s="130"/>
      <c r="Q67" s="127"/>
      <c r="R67" s="127"/>
      <c r="S67" s="127"/>
    </row>
    <row r="68" spans="1:19" s="163" customFormat="1" ht="12" customHeight="1">
      <c r="A68" s="136"/>
      <c r="B68" s="132"/>
      <c r="C68" s="137"/>
      <c r="D68" s="137"/>
      <c r="E68" s="137"/>
      <c r="F68" s="137"/>
      <c r="G68" s="137"/>
      <c r="H68" s="138"/>
      <c r="I68" s="139"/>
      <c r="J68" s="139"/>
      <c r="L68" s="135"/>
      <c r="M68" s="135"/>
      <c r="N68" s="135"/>
      <c r="O68" s="135"/>
      <c r="P68" s="130"/>
      <c r="Q68" s="127"/>
      <c r="R68" s="127"/>
      <c r="S68" s="127"/>
    </row>
    <row r="69" spans="1:19" s="163" customFormat="1" ht="12" customHeight="1">
      <c r="A69" s="136"/>
      <c r="B69" s="132"/>
      <c r="C69" s="137"/>
      <c r="D69" s="137"/>
      <c r="E69" s="137"/>
      <c r="F69" s="137"/>
      <c r="G69" s="137"/>
      <c r="H69" s="138"/>
      <c r="I69" s="139"/>
      <c r="J69" s="139"/>
      <c r="L69" s="135"/>
      <c r="M69" s="135"/>
      <c r="N69" s="135"/>
      <c r="O69" s="135"/>
      <c r="P69" s="130"/>
      <c r="Q69" s="127"/>
      <c r="R69" s="127"/>
      <c r="S69" s="127"/>
    </row>
    <row r="70" spans="1:19" s="163" customFormat="1" ht="12" customHeight="1">
      <c r="A70" s="136"/>
      <c r="B70" s="132"/>
      <c r="C70" s="137"/>
      <c r="D70" s="137"/>
      <c r="E70" s="137"/>
      <c r="F70" s="137"/>
      <c r="G70" s="137"/>
      <c r="H70" s="138"/>
      <c r="I70" s="139"/>
      <c r="J70" s="139"/>
      <c r="L70" s="135"/>
      <c r="M70" s="135"/>
      <c r="N70" s="135"/>
      <c r="O70" s="135"/>
      <c r="P70" s="130"/>
      <c r="Q70" s="127"/>
      <c r="R70" s="127"/>
      <c r="S70" s="127"/>
    </row>
    <row r="71" spans="1:19" s="163" customFormat="1" ht="12" customHeight="1">
      <c r="A71" s="136"/>
      <c r="B71" s="132"/>
      <c r="C71" s="137"/>
      <c r="D71" s="137"/>
      <c r="E71" s="137"/>
      <c r="F71" s="137"/>
      <c r="G71" s="137"/>
      <c r="H71" s="138"/>
      <c r="I71" s="139"/>
      <c r="J71" s="139"/>
      <c r="L71" s="135"/>
      <c r="M71" s="135"/>
      <c r="N71" s="135"/>
      <c r="O71" s="135"/>
      <c r="P71" s="130"/>
      <c r="Q71" s="127"/>
      <c r="R71" s="127"/>
      <c r="S71" s="127"/>
    </row>
    <row r="72" spans="1:19" s="163" customFormat="1" ht="12" customHeight="1">
      <c r="A72" s="136"/>
      <c r="B72" s="132"/>
      <c r="C72" s="137"/>
      <c r="D72" s="137"/>
      <c r="E72" s="137"/>
      <c r="F72" s="137"/>
      <c r="G72" s="137"/>
      <c r="H72" s="138"/>
      <c r="I72" s="139"/>
      <c r="J72" s="139"/>
      <c r="L72" s="135"/>
      <c r="M72" s="135"/>
      <c r="N72" s="135"/>
      <c r="O72" s="135"/>
      <c r="P72" s="130"/>
      <c r="Q72" s="127"/>
      <c r="R72" s="127"/>
      <c r="S72" s="127"/>
    </row>
    <row r="73" spans="1:19" s="163" customFormat="1" ht="12" customHeight="1">
      <c r="A73" s="136"/>
      <c r="B73" s="132"/>
      <c r="C73" s="137"/>
      <c r="D73" s="137"/>
      <c r="E73" s="137"/>
      <c r="F73" s="137"/>
      <c r="G73" s="137"/>
      <c r="H73" s="138"/>
      <c r="I73" s="139"/>
      <c r="J73" s="139"/>
      <c r="L73" s="135"/>
      <c r="M73" s="135"/>
      <c r="N73" s="135"/>
      <c r="O73" s="135"/>
      <c r="P73" s="130"/>
      <c r="Q73" s="127"/>
      <c r="R73" s="127"/>
      <c r="S73" s="127"/>
    </row>
    <row r="74" spans="1:19" s="163" customFormat="1" ht="12" customHeight="1">
      <c r="A74" s="136"/>
      <c r="B74" s="132"/>
      <c r="C74" s="137"/>
      <c r="D74" s="137"/>
      <c r="E74" s="137"/>
      <c r="F74" s="137"/>
      <c r="G74" s="137"/>
      <c r="H74" s="138"/>
      <c r="I74" s="139"/>
      <c r="J74" s="139"/>
      <c r="L74" s="135"/>
      <c r="M74" s="135"/>
      <c r="N74" s="135"/>
      <c r="O74" s="135"/>
      <c r="P74" s="130"/>
      <c r="Q74" s="127"/>
      <c r="R74" s="127"/>
      <c r="S74" s="127"/>
    </row>
    <row r="75" spans="1:19" s="163" customFormat="1" ht="12" customHeight="1">
      <c r="A75" s="136"/>
      <c r="B75" s="132"/>
      <c r="C75" s="137"/>
      <c r="D75" s="137"/>
      <c r="E75" s="137"/>
      <c r="F75" s="137"/>
      <c r="G75" s="137"/>
      <c r="H75" s="138"/>
      <c r="I75" s="139"/>
      <c r="J75" s="139"/>
      <c r="L75" s="135"/>
      <c r="M75" s="135"/>
      <c r="N75" s="135"/>
      <c r="O75" s="135"/>
      <c r="P75" s="130"/>
      <c r="Q75" s="127"/>
      <c r="R75" s="127"/>
      <c r="S75" s="127"/>
    </row>
    <row r="76" spans="1:19" s="163" customFormat="1" ht="12" customHeight="1">
      <c r="A76" s="136"/>
      <c r="B76" s="132"/>
      <c r="C76" s="137"/>
      <c r="D76" s="137"/>
      <c r="E76" s="137"/>
      <c r="F76" s="137"/>
      <c r="G76" s="137"/>
      <c r="H76" s="138"/>
      <c r="I76" s="139"/>
      <c r="J76" s="139"/>
      <c r="L76" s="135"/>
      <c r="M76" s="135"/>
      <c r="N76" s="135"/>
      <c r="O76" s="135"/>
      <c r="P76" s="130"/>
      <c r="Q76" s="127"/>
      <c r="R76" s="127"/>
      <c r="S76" s="127"/>
    </row>
    <row r="77" spans="1:19" s="163" customFormat="1" ht="12" customHeight="1">
      <c r="A77" s="136"/>
      <c r="B77" s="132"/>
      <c r="C77" s="137"/>
      <c r="D77" s="137"/>
      <c r="E77" s="137"/>
      <c r="F77" s="137"/>
      <c r="G77" s="137"/>
      <c r="H77" s="138"/>
      <c r="I77" s="139"/>
      <c r="J77" s="139"/>
      <c r="L77" s="135"/>
      <c r="M77" s="135"/>
      <c r="N77" s="135"/>
      <c r="O77" s="135"/>
      <c r="P77" s="130"/>
      <c r="Q77" s="127"/>
      <c r="R77" s="127"/>
      <c r="S77" s="127"/>
    </row>
    <row r="78" spans="1:19" s="163" customFormat="1" ht="12" customHeight="1">
      <c r="A78" s="136"/>
      <c r="B78" s="132"/>
      <c r="C78" s="137"/>
      <c r="D78" s="137"/>
      <c r="E78" s="137"/>
      <c r="F78" s="137"/>
      <c r="G78" s="137"/>
      <c r="H78" s="138"/>
      <c r="I78" s="139"/>
      <c r="J78" s="139"/>
      <c r="L78" s="135"/>
      <c r="M78" s="135"/>
      <c r="N78" s="135"/>
      <c r="O78" s="135"/>
      <c r="P78" s="130"/>
      <c r="Q78" s="127"/>
      <c r="R78" s="127"/>
      <c r="S78" s="127"/>
    </row>
    <row r="79" spans="1:19" s="163" customFormat="1" ht="12" customHeight="1">
      <c r="A79" s="136"/>
      <c r="B79" s="132"/>
      <c r="C79" s="137"/>
      <c r="D79" s="137"/>
      <c r="E79" s="137"/>
      <c r="F79" s="137"/>
      <c r="G79" s="137"/>
      <c r="H79" s="138"/>
      <c r="I79" s="139"/>
      <c r="J79" s="139"/>
      <c r="L79" s="135"/>
      <c r="M79" s="135"/>
      <c r="N79" s="135"/>
      <c r="O79" s="135"/>
      <c r="P79" s="130"/>
      <c r="Q79" s="127"/>
      <c r="R79" s="127"/>
      <c r="S79" s="127"/>
    </row>
    <row r="80" spans="1:19" s="163" customFormat="1" ht="12" customHeight="1">
      <c r="A80" s="136"/>
      <c r="B80" s="132"/>
      <c r="C80" s="137"/>
      <c r="D80" s="137"/>
      <c r="E80" s="137"/>
      <c r="F80" s="137"/>
      <c r="G80" s="137"/>
      <c r="H80" s="138"/>
      <c r="I80" s="139"/>
      <c r="J80" s="139"/>
      <c r="L80" s="135"/>
      <c r="M80" s="135"/>
      <c r="N80" s="135"/>
      <c r="O80" s="135"/>
      <c r="P80" s="130"/>
      <c r="Q80" s="127"/>
      <c r="R80" s="127"/>
      <c r="S80" s="127"/>
    </row>
    <row r="81" spans="1:19" s="163" customFormat="1" ht="12" customHeight="1">
      <c r="A81" s="136"/>
      <c r="B81" s="132"/>
      <c r="C81" s="137"/>
      <c r="D81" s="137"/>
      <c r="E81" s="137"/>
      <c r="F81" s="137"/>
      <c r="G81" s="137"/>
      <c r="H81" s="138"/>
      <c r="I81" s="139"/>
      <c r="J81" s="139"/>
      <c r="L81" s="135"/>
      <c r="M81" s="135"/>
      <c r="N81" s="135"/>
      <c r="O81" s="135"/>
      <c r="P81" s="130"/>
      <c r="Q81" s="127"/>
      <c r="R81" s="127"/>
      <c r="S81" s="127"/>
    </row>
    <row r="82" spans="1:19" s="163" customFormat="1" ht="12" customHeight="1">
      <c r="A82" s="136"/>
      <c r="B82" s="132"/>
      <c r="C82" s="137"/>
      <c r="D82" s="137"/>
      <c r="E82" s="137"/>
      <c r="F82" s="137"/>
      <c r="G82" s="137"/>
      <c r="H82" s="138"/>
      <c r="I82" s="139"/>
      <c r="J82" s="139"/>
      <c r="L82" s="135"/>
      <c r="M82" s="135"/>
      <c r="N82" s="135"/>
      <c r="O82" s="135"/>
      <c r="P82" s="130"/>
      <c r="Q82" s="127"/>
      <c r="R82" s="127"/>
      <c r="S82" s="127"/>
    </row>
    <row r="83" spans="1:19" s="163" customFormat="1" ht="12" customHeight="1">
      <c r="A83" s="136"/>
      <c r="B83" s="132"/>
      <c r="C83" s="137"/>
      <c r="D83" s="137"/>
      <c r="E83" s="137"/>
      <c r="F83" s="137"/>
      <c r="G83" s="137"/>
      <c r="H83" s="138"/>
      <c r="I83" s="139"/>
      <c r="J83" s="139"/>
      <c r="L83" s="135"/>
      <c r="M83" s="135"/>
      <c r="N83" s="135"/>
      <c r="O83" s="135"/>
      <c r="P83" s="130"/>
      <c r="Q83" s="127"/>
      <c r="R83" s="127"/>
      <c r="S83" s="127"/>
    </row>
    <row r="84" spans="1:19" s="163" customFormat="1" ht="12" customHeight="1">
      <c r="A84" s="136"/>
      <c r="B84" s="132"/>
      <c r="C84" s="137"/>
      <c r="D84" s="137"/>
      <c r="E84" s="137"/>
      <c r="F84" s="137"/>
      <c r="G84" s="137"/>
      <c r="H84" s="138"/>
      <c r="I84" s="139"/>
      <c r="J84" s="139"/>
      <c r="L84" s="135"/>
      <c r="M84" s="135"/>
      <c r="N84" s="135"/>
      <c r="O84" s="135"/>
      <c r="P84" s="130"/>
      <c r="Q84" s="127"/>
      <c r="R84" s="127"/>
      <c r="S84" s="127"/>
    </row>
    <row r="85" spans="1:19" s="163" customFormat="1" ht="12" customHeight="1">
      <c r="A85" s="136"/>
      <c r="B85" s="132"/>
      <c r="C85" s="137"/>
      <c r="D85" s="137"/>
      <c r="E85" s="137"/>
      <c r="F85" s="137"/>
      <c r="G85" s="137"/>
      <c r="H85" s="138"/>
      <c r="I85" s="139"/>
      <c r="J85" s="139"/>
      <c r="L85" s="135"/>
      <c r="M85" s="135"/>
      <c r="N85" s="135"/>
      <c r="O85" s="135"/>
      <c r="P85" s="130"/>
      <c r="Q85" s="127"/>
      <c r="R85" s="127"/>
      <c r="S85" s="127"/>
    </row>
    <row r="86" spans="1:19" s="163" customFormat="1" ht="12" customHeight="1">
      <c r="A86" s="136"/>
      <c r="B86" s="132"/>
      <c r="C86" s="137"/>
      <c r="D86" s="137"/>
      <c r="E86" s="137"/>
      <c r="F86" s="137"/>
      <c r="G86" s="137"/>
      <c r="H86" s="138"/>
      <c r="I86" s="139"/>
      <c r="J86" s="139"/>
      <c r="L86" s="135"/>
      <c r="M86" s="135"/>
      <c r="N86" s="135"/>
      <c r="O86" s="135"/>
      <c r="P86" s="130"/>
      <c r="Q86" s="127"/>
      <c r="R86" s="127"/>
      <c r="S86" s="127"/>
    </row>
    <row r="87" spans="1:19" s="163" customFormat="1" ht="12" customHeight="1">
      <c r="A87" s="136"/>
      <c r="B87" s="132"/>
      <c r="C87" s="137"/>
      <c r="D87" s="137"/>
      <c r="E87" s="137"/>
      <c r="F87" s="137"/>
      <c r="G87" s="137"/>
      <c r="H87" s="138"/>
      <c r="I87" s="139"/>
      <c r="J87" s="139"/>
      <c r="L87" s="135"/>
      <c r="M87" s="135"/>
      <c r="N87" s="135"/>
      <c r="O87" s="135"/>
      <c r="P87" s="130"/>
      <c r="Q87" s="127"/>
      <c r="R87" s="127"/>
      <c r="S87" s="127"/>
    </row>
    <row r="88" spans="1:19" s="163" customFormat="1" ht="12" customHeight="1">
      <c r="A88" s="136"/>
      <c r="B88" s="132"/>
      <c r="C88" s="137"/>
      <c r="D88" s="137"/>
      <c r="E88" s="137"/>
      <c r="F88" s="137"/>
      <c r="G88" s="137"/>
      <c r="H88" s="138"/>
      <c r="I88" s="139"/>
      <c r="J88" s="139"/>
      <c r="L88" s="135"/>
      <c r="M88" s="135"/>
      <c r="N88" s="135"/>
      <c r="O88" s="135"/>
      <c r="P88" s="130"/>
      <c r="Q88" s="127"/>
      <c r="R88" s="127"/>
      <c r="S88" s="127"/>
    </row>
    <row r="89" spans="1:19" s="163" customFormat="1" ht="12" customHeight="1">
      <c r="A89" s="136"/>
      <c r="B89" s="132"/>
      <c r="C89" s="137"/>
      <c r="D89" s="137"/>
      <c r="E89" s="137"/>
      <c r="F89" s="137"/>
      <c r="G89" s="137"/>
      <c r="H89" s="138"/>
      <c r="I89" s="139"/>
      <c r="J89" s="139"/>
      <c r="L89" s="135"/>
      <c r="M89" s="135"/>
      <c r="N89" s="135"/>
      <c r="O89" s="135"/>
      <c r="P89" s="130"/>
      <c r="Q89" s="127"/>
      <c r="R89" s="127"/>
      <c r="S89" s="127"/>
    </row>
    <row r="90" spans="1:19" s="163" customFormat="1" ht="12" customHeight="1">
      <c r="A90" s="136"/>
      <c r="B90" s="132"/>
      <c r="C90" s="137"/>
      <c r="D90" s="137"/>
      <c r="E90" s="137"/>
      <c r="F90" s="137"/>
      <c r="G90" s="137"/>
      <c r="H90" s="138"/>
      <c r="I90" s="139"/>
      <c r="J90" s="139"/>
      <c r="L90" s="135"/>
      <c r="M90" s="135"/>
      <c r="N90" s="135"/>
      <c r="O90" s="135"/>
      <c r="P90" s="130"/>
      <c r="Q90" s="127"/>
      <c r="R90" s="127"/>
      <c r="S90" s="127"/>
    </row>
    <row r="91" spans="1:19" s="163" customFormat="1" ht="12" customHeight="1">
      <c r="A91" s="136"/>
      <c r="B91" s="132"/>
      <c r="C91" s="137"/>
      <c r="D91" s="137"/>
      <c r="E91" s="137"/>
      <c r="F91" s="137"/>
      <c r="G91" s="137"/>
      <c r="H91" s="138"/>
      <c r="I91" s="139"/>
      <c r="J91" s="139"/>
      <c r="L91" s="135"/>
      <c r="M91" s="135"/>
      <c r="N91" s="135"/>
      <c r="O91" s="135"/>
      <c r="P91" s="130"/>
      <c r="Q91" s="127"/>
      <c r="R91" s="127"/>
      <c r="S91" s="127"/>
    </row>
    <row r="92" spans="1:19" s="163" customFormat="1" ht="12" customHeight="1">
      <c r="A92" s="136"/>
      <c r="B92" s="132"/>
      <c r="C92" s="137"/>
      <c r="D92" s="137"/>
      <c r="E92" s="137"/>
      <c r="F92" s="137"/>
      <c r="G92" s="137"/>
      <c r="H92" s="138"/>
      <c r="I92" s="139"/>
      <c r="J92" s="139"/>
      <c r="L92" s="135"/>
      <c r="M92" s="135"/>
      <c r="N92" s="135"/>
      <c r="O92" s="135"/>
      <c r="P92" s="130"/>
      <c r="Q92" s="127"/>
      <c r="R92" s="127"/>
      <c r="S92" s="127"/>
    </row>
    <row r="93" spans="1:19" s="163" customFormat="1" ht="12" customHeight="1">
      <c r="A93" s="136"/>
      <c r="B93" s="132"/>
      <c r="C93" s="137"/>
      <c r="D93" s="137"/>
      <c r="E93" s="137"/>
      <c r="F93" s="137"/>
      <c r="G93" s="137"/>
      <c r="H93" s="138"/>
      <c r="I93" s="139"/>
      <c r="J93" s="139"/>
      <c r="L93" s="135"/>
      <c r="M93" s="135"/>
      <c r="N93" s="135"/>
      <c r="O93" s="135"/>
      <c r="P93" s="130"/>
      <c r="Q93" s="127"/>
      <c r="R93" s="127"/>
      <c r="S93" s="127"/>
    </row>
    <row r="94" spans="1:19" s="163" customFormat="1" ht="12" customHeight="1">
      <c r="A94" s="136"/>
      <c r="B94" s="132"/>
      <c r="C94" s="137"/>
      <c r="D94" s="137"/>
      <c r="E94" s="137"/>
      <c r="F94" s="137"/>
      <c r="G94" s="137"/>
      <c r="H94" s="138"/>
      <c r="I94" s="139"/>
      <c r="J94" s="139"/>
      <c r="L94" s="135"/>
      <c r="M94" s="135"/>
      <c r="N94" s="135"/>
      <c r="O94" s="135"/>
      <c r="P94" s="130"/>
      <c r="Q94" s="127"/>
      <c r="R94" s="127"/>
      <c r="S94" s="127"/>
    </row>
    <row r="95" spans="1:19" s="163" customFormat="1" ht="12" customHeight="1">
      <c r="A95" s="136"/>
      <c r="B95" s="132"/>
      <c r="C95" s="137"/>
      <c r="D95" s="137"/>
      <c r="E95" s="137"/>
      <c r="F95" s="137"/>
      <c r="G95" s="137"/>
      <c r="H95" s="138"/>
      <c r="I95" s="139"/>
      <c r="J95" s="139"/>
      <c r="L95" s="135"/>
      <c r="M95" s="135"/>
      <c r="N95" s="135"/>
      <c r="O95" s="135"/>
      <c r="P95" s="130"/>
      <c r="Q95" s="127"/>
      <c r="R95" s="127"/>
      <c r="S95" s="127"/>
    </row>
    <row r="96" spans="1:19" s="163" customFormat="1" ht="12" customHeight="1">
      <c r="A96" s="136"/>
      <c r="B96" s="132"/>
      <c r="C96" s="137"/>
      <c r="D96" s="137"/>
      <c r="E96" s="137"/>
      <c r="F96" s="137"/>
      <c r="G96" s="137"/>
      <c r="H96" s="138"/>
      <c r="I96" s="139"/>
      <c r="J96" s="139"/>
      <c r="L96" s="135"/>
      <c r="M96" s="135"/>
      <c r="N96" s="135"/>
      <c r="O96" s="135"/>
      <c r="P96" s="130"/>
      <c r="Q96" s="127"/>
      <c r="R96" s="127"/>
      <c r="S96" s="127"/>
    </row>
    <row r="97" spans="1:19" s="163" customFormat="1" ht="12" customHeight="1">
      <c r="A97" s="136"/>
      <c r="B97" s="132"/>
      <c r="C97" s="137"/>
      <c r="D97" s="137"/>
      <c r="E97" s="137"/>
      <c r="F97" s="137"/>
      <c r="G97" s="137"/>
      <c r="H97" s="138"/>
      <c r="I97" s="139"/>
      <c r="J97" s="139"/>
      <c r="L97" s="135"/>
      <c r="M97" s="135"/>
      <c r="N97" s="135"/>
      <c r="O97" s="135"/>
      <c r="P97" s="130"/>
      <c r="Q97" s="127"/>
      <c r="R97" s="127"/>
      <c r="S97" s="127"/>
    </row>
    <row r="98" spans="1:19" s="163" customFormat="1" ht="12" customHeight="1">
      <c r="A98" s="136"/>
      <c r="B98" s="132"/>
      <c r="C98" s="137"/>
      <c r="D98" s="137"/>
      <c r="E98" s="137"/>
      <c r="F98" s="137"/>
      <c r="G98" s="137"/>
      <c r="H98" s="138"/>
      <c r="I98" s="139"/>
      <c r="J98" s="139"/>
      <c r="L98" s="135"/>
      <c r="M98" s="135"/>
      <c r="N98" s="135"/>
      <c r="O98" s="135"/>
      <c r="P98" s="130"/>
      <c r="Q98" s="127"/>
      <c r="R98" s="127"/>
      <c r="S98" s="127"/>
    </row>
    <row r="99" spans="1:19" s="163" customFormat="1" ht="12" customHeight="1">
      <c r="A99" s="136"/>
      <c r="B99" s="132"/>
      <c r="C99" s="137"/>
      <c r="D99" s="137"/>
      <c r="E99" s="137"/>
      <c r="F99" s="137"/>
      <c r="G99" s="137"/>
      <c r="H99" s="138"/>
      <c r="I99" s="139"/>
      <c r="J99" s="139"/>
      <c r="L99" s="135"/>
      <c r="M99" s="135"/>
      <c r="N99" s="135"/>
      <c r="O99" s="135"/>
      <c r="P99" s="130"/>
      <c r="Q99" s="127"/>
      <c r="R99" s="127"/>
      <c r="S99" s="127"/>
    </row>
    <row r="100" spans="1:19" s="163" customFormat="1" ht="12" customHeight="1">
      <c r="A100" s="136"/>
      <c r="B100" s="132"/>
      <c r="C100" s="137"/>
      <c r="D100" s="137"/>
      <c r="E100" s="137"/>
      <c r="F100" s="137"/>
      <c r="G100" s="137"/>
      <c r="H100" s="138"/>
      <c r="I100" s="139"/>
      <c r="J100" s="139"/>
      <c r="L100" s="135"/>
      <c r="M100" s="135"/>
      <c r="N100" s="135"/>
      <c r="O100" s="135"/>
      <c r="P100" s="130"/>
      <c r="Q100" s="127"/>
      <c r="R100" s="127"/>
      <c r="S100" s="127"/>
    </row>
    <row r="101" spans="1:19" s="163" customFormat="1" ht="12" customHeight="1">
      <c r="A101" s="136"/>
      <c r="B101" s="132"/>
      <c r="C101" s="137"/>
      <c r="D101" s="137"/>
      <c r="E101" s="137"/>
      <c r="F101" s="137"/>
      <c r="G101" s="137"/>
      <c r="H101" s="138"/>
      <c r="I101" s="139"/>
      <c r="J101" s="139"/>
      <c r="L101" s="135"/>
      <c r="M101" s="135"/>
      <c r="N101" s="135"/>
      <c r="O101" s="135"/>
      <c r="P101" s="130"/>
      <c r="Q101" s="127"/>
      <c r="R101" s="127"/>
      <c r="S101" s="127"/>
    </row>
    <row r="102" spans="1:19" s="163" customFormat="1" ht="12" customHeight="1">
      <c r="A102" s="136"/>
      <c r="B102" s="132"/>
      <c r="C102" s="137"/>
      <c r="D102" s="137"/>
      <c r="E102" s="137"/>
      <c r="F102" s="137"/>
      <c r="G102" s="137"/>
      <c r="H102" s="138"/>
      <c r="I102" s="139"/>
      <c r="J102" s="139"/>
      <c r="L102" s="135"/>
      <c r="M102" s="135"/>
      <c r="N102" s="135"/>
      <c r="O102" s="135"/>
      <c r="P102" s="130"/>
      <c r="Q102" s="127"/>
      <c r="R102" s="127"/>
      <c r="S102" s="127"/>
    </row>
    <row r="103" spans="1:19" s="163" customFormat="1" ht="12" customHeight="1">
      <c r="A103" s="136"/>
      <c r="B103" s="132"/>
      <c r="C103" s="137"/>
      <c r="D103" s="137"/>
      <c r="E103" s="137"/>
      <c r="F103" s="137"/>
      <c r="G103" s="137"/>
      <c r="H103" s="138"/>
      <c r="I103" s="139"/>
      <c r="J103" s="139"/>
      <c r="L103" s="135"/>
      <c r="M103" s="135"/>
      <c r="N103" s="135"/>
      <c r="O103" s="135"/>
      <c r="P103" s="130"/>
      <c r="Q103" s="127"/>
      <c r="R103" s="127"/>
      <c r="S103" s="127"/>
    </row>
    <row r="104" spans="1:19" s="163" customFormat="1" ht="12" customHeight="1">
      <c r="A104" s="136"/>
      <c r="B104" s="132"/>
      <c r="C104" s="137"/>
      <c r="D104" s="137"/>
      <c r="E104" s="137"/>
      <c r="F104" s="137"/>
      <c r="G104" s="137"/>
      <c r="H104" s="138"/>
      <c r="I104" s="139"/>
      <c r="J104" s="139"/>
      <c r="L104" s="135"/>
      <c r="M104" s="135"/>
      <c r="N104" s="135"/>
      <c r="O104" s="135"/>
      <c r="P104" s="130"/>
      <c r="Q104" s="127"/>
      <c r="R104" s="127"/>
      <c r="S104" s="127"/>
    </row>
    <row r="105" spans="1:19" s="163" customFormat="1" ht="12" customHeight="1">
      <c r="A105" s="136"/>
      <c r="B105" s="132"/>
      <c r="C105" s="137"/>
      <c r="D105" s="137"/>
      <c r="E105" s="137"/>
      <c r="F105" s="137"/>
      <c r="G105" s="137"/>
      <c r="H105" s="138"/>
      <c r="I105" s="139"/>
      <c r="J105" s="139"/>
      <c r="L105" s="135"/>
      <c r="M105" s="135"/>
      <c r="N105" s="135"/>
      <c r="O105" s="135"/>
      <c r="P105" s="130"/>
      <c r="Q105" s="127"/>
      <c r="R105" s="127"/>
      <c r="S105" s="127"/>
    </row>
    <row r="106" spans="1:19" s="163" customFormat="1" ht="12" customHeight="1">
      <c r="A106" s="136"/>
      <c r="B106" s="132"/>
      <c r="C106" s="137"/>
      <c r="D106" s="137"/>
      <c r="E106" s="137"/>
      <c r="F106" s="137"/>
      <c r="G106" s="137"/>
      <c r="H106" s="138"/>
      <c r="I106" s="139"/>
      <c r="J106" s="139"/>
      <c r="L106" s="135"/>
      <c r="M106" s="135"/>
      <c r="N106" s="135"/>
      <c r="O106" s="135"/>
      <c r="P106" s="130"/>
      <c r="Q106" s="127"/>
      <c r="R106" s="127"/>
      <c r="S106" s="127"/>
    </row>
    <row r="107" spans="1:19" s="163" customFormat="1" ht="12" customHeight="1">
      <c r="A107" s="136"/>
      <c r="B107" s="132"/>
      <c r="C107" s="137"/>
      <c r="D107" s="137"/>
      <c r="E107" s="137"/>
      <c r="F107" s="137"/>
      <c r="G107" s="137"/>
      <c r="H107" s="138"/>
      <c r="I107" s="139"/>
      <c r="J107" s="139"/>
      <c r="L107" s="135"/>
      <c r="M107" s="135"/>
      <c r="N107" s="135"/>
      <c r="O107" s="135"/>
      <c r="P107" s="130"/>
      <c r="Q107" s="127"/>
      <c r="R107" s="127"/>
      <c r="S107" s="127"/>
    </row>
    <row r="108" spans="1:19" s="163" customFormat="1" ht="12" customHeight="1">
      <c r="A108" s="136"/>
      <c r="B108" s="132"/>
      <c r="C108" s="137"/>
      <c r="D108" s="137"/>
      <c r="E108" s="137"/>
      <c r="F108" s="137"/>
      <c r="G108" s="137"/>
      <c r="H108" s="138"/>
      <c r="I108" s="139"/>
      <c r="J108" s="139"/>
      <c r="L108" s="135"/>
      <c r="M108" s="135"/>
      <c r="N108" s="135"/>
      <c r="O108" s="135"/>
      <c r="P108" s="130"/>
      <c r="Q108" s="127"/>
      <c r="R108" s="127"/>
      <c r="S108" s="127"/>
    </row>
    <row r="109" spans="1:19" s="163" customFormat="1" ht="12" customHeight="1">
      <c r="A109" s="136"/>
      <c r="B109" s="132"/>
      <c r="C109" s="137"/>
      <c r="D109" s="137"/>
      <c r="E109" s="137"/>
      <c r="F109" s="137"/>
      <c r="G109" s="137"/>
      <c r="H109" s="138"/>
      <c r="I109" s="139"/>
      <c r="J109" s="139"/>
      <c r="L109" s="135"/>
      <c r="M109" s="135"/>
      <c r="N109" s="135"/>
      <c r="O109" s="135"/>
      <c r="P109" s="130"/>
      <c r="Q109" s="127"/>
      <c r="R109" s="127"/>
      <c r="S109" s="127"/>
    </row>
    <row r="110" spans="1:19" s="163" customFormat="1" ht="12" customHeight="1">
      <c r="A110" s="136"/>
      <c r="B110" s="132"/>
      <c r="C110" s="137"/>
      <c r="D110" s="137"/>
      <c r="E110" s="137"/>
      <c r="F110" s="137"/>
      <c r="G110" s="137"/>
      <c r="H110" s="138"/>
      <c r="I110" s="139"/>
      <c r="J110" s="139"/>
      <c r="L110" s="135"/>
      <c r="M110" s="135"/>
      <c r="N110" s="135"/>
      <c r="O110" s="135"/>
      <c r="P110" s="130"/>
      <c r="Q110" s="127"/>
      <c r="R110" s="127"/>
      <c r="S110" s="127"/>
    </row>
    <row r="111" spans="1:19" s="163" customFormat="1" ht="12" customHeight="1">
      <c r="A111" s="136"/>
      <c r="B111" s="132"/>
      <c r="C111" s="137"/>
      <c r="D111" s="137"/>
      <c r="E111" s="137"/>
      <c r="F111" s="137"/>
      <c r="G111" s="137"/>
      <c r="H111" s="138"/>
      <c r="I111" s="139"/>
      <c r="J111" s="139"/>
      <c r="L111" s="135"/>
      <c r="M111" s="135"/>
      <c r="N111" s="135"/>
      <c r="O111" s="135"/>
      <c r="P111" s="130"/>
      <c r="Q111" s="127"/>
      <c r="R111" s="127"/>
      <c r="S111" s="127"/>
    </row>
    <row r="112" spans="1:19" s="163" customFormat="1" ht="12" customHeight="1">
      <c r="A112" s="136"/>
      <c r="B112" s="132"/>
      <c r="C112" s="137"/>
      <c r="D112" s="137"/>
      <c r="E112" s="137"/>
      <c r="F112" s="137"/>
      <c r="G112" s="137"/>
      <c r="H112" s="138"/>
      <c r="I112" s="139"/>
      <c r="J112" s="139"/>
      <c r="L112" s="135"/>
      <c r="M112" s="135"/>
      <c r="N112" s="135"/>
      <c r="O112" s="135"/>
      <c r="P112" s="130"/>
      <c r="Q112" s="127"/>
      <c r="R112" s="127"/>
      <c r="S112" s="127"/>
    </row>
    <row r="113" spans="1:19" s="163" customFormat="1" ht="12" customHeight="1">
      <c r="A113" s="136"/>
      <c r="B113" s="132"/>
      <c r="C113" s="137"/>
      <c r="D113" s="137"/>
      <c r="E113" s="137"/>
      <c r="F113" s="137"/>
      <c r="G113" s="137"/>
      <c r="H113" s="138"/>
      <c r="I113" s="139"/>
      <c r="J113" s="139"/>
      <c r="L113" s="135"/>
      <c r="M113" s="135"/>
      <c r="N113" s="135"/>
      <c r="O113" s="135"/>
      <c r="P113" s="130"/>
      <c r="Q113" s="127"/>
      <c r="R113" s="127"/>
      <c r="S113" s="127"/>
    </row>
    <row r="114" spans="1:19" s="163" customFormat="1" ht="12" customHeight="1">
      <c r="A114" s="136"/>
      <c r="B114" s="132"/>
      <c r="C114" s="137"/>
      <c r="D114" s="137"/>
      <c r="E114" s="137"/>
      <c r="F114" s="137"/>
      <c r="G114" s="137"/>
      <c r="H114" s="138"/>
      <c r="I114" s="139"/>
      <c r="J114" s="139"/>
      <c r="L114" s="135"/>
      <c r="M114" s="135"/>
      <c r="N114" s="135"/>
      <c r="O114" s="135"/>
      <c r="P114" s="130"/>
      <c r="Q114" s="127"/>
      <c r="R114" s="127"/>
      <c r="S114" s="127"/>
    </row>
    <row r="115" spans="1:19" s="163" customFormat="1" ht="12" customHeight="1">
      <c r="A115" s="136"/>
      <c r="B115" s="132"/>
      <c r="C115" s="137"/>
      <c r="D115" s="137"/>
      <c r="E115" s="137"/>
      <c r="F115" s="137"/>
      <c r="G115" s="137"/>
      <c r="H115" s="138"/>
      <c r="I115" s="139"/>
      <c r="J115" s="139"/>
      <c r="L115" s="135"/>
      <c r="M115" s="135"/>
      <c r="N115" s="135"/>
      <c r="O115" s="135"/>
      <c r="P115" s="130"/>
      <c r="Q115" s="127"/>
      <c r="R115" s="127"/>
      <c r="S115" s="127"/>
    </row>
    <row r="116" spans="1:19" s="163" customFormat="1" ht="12" customHeight="1">
      <c r="A116" s="136"/>
      <c r="B116" s="132"/>
      <c r="C116" s="137"/>
      <c r="D116" s="137"/>
      <c r="E116" s="137"/>
      <c r="F116" s="137"/>
      <c r="G116" s="137"/>
      <c r="H116" s="138"/>
      <c r="I116" s="139"/>
      <c r="J116" s="139"/>
      <c r="L116" s="135"/>
      <c r="M116" s="135"/>
      <c r="N116" s="135"/>
      <c r="O116" s="135"/>
      <c r="P116" s="130"/>
      <c r="Q116" s="127"/>
      <c r="R116" s="127"/>
      <c r="S116" s="127"/>
    </row>
    <row r="117" spans="1:19" s="163" customFormat="1" ht="12" customHeight="1">
      <c r="A117" s="136"/>
      <c r="B117" s="132"/>
      <c r="C117" s="137"/>
      <c r="D117" s="137"/>
      <c r="E117" s="137"/>
      <c r="F117" s="137"/>
      <c r="G117" s="137"/>
      <c r="H117" s="138"/>
      <c r="I117" s="139"/>
      <c r="J117" s="139"/>
      <c r="L117" s="135"/>
      <c r="M117" s="135"/>
      <c r="N117" s="135"/>
      <c r="O117" s="135"/>
      <c r="P117" s="130"/>
      <c r="Q117" s="127"/>
      <c r="R117" s="127"/>
      <c r="S117" s="127"/>
    </row>
    <row r="118" spans="1:19" s="163" customFormat="1" ht="12" customHeight="1">
      <c r="A118" s="136"/>
      <c r="B118" s="132"/>
      <c r="C118" s="137"/>
      <c r="D118" s="137"/>
      <c r="E118" s="137"/>
      <c r="F118" s="137"/>
      <c r="G118" s="137"/>
      <c r="H118" s="138"/>
      <c r="I118" s="139"/>
      <c r="J118" s="139"/>
      <c r="L118" s="135"/>
      <c r="M118" s="135"/>
      <c r="N118" s="135"/>
      <c r="O118" s="135"/>
      <c r="P118" s="130"/>
      <c r="Q118" s="127"/>
      <c r="R118" s="127"/>
      <c r="S118" s="127"/>
    </row>
    <row r="119" spans="1:19" s="163" customFormat="1" ht="12" customHeight="1">
      <c r="A119" s="136"/>
      <c r="B119" s="132"/>
      <c r="C119" s="137"/>
      <c r="D119" s="137"/>
      <c r="E119" s="137"/>
      <c r="F119" s="137"/>
      <c r="G119" s="137"/>
      <c r="H119" s="138"/>
      <c r="I119" s="139"/>
      <c r="J119" s="139"/>
      <c r="L119" s="135"/>
      <c r="M119" s="135"/>
      <c r="N119" s="135"/>
      <c r="O119" s="135"/>
      <c r="P119" s="130"/>
      <c r="Q119" s="127"/>
      <c r="R119" s="127"/>
      <c r="S119" s="127"/>
    </row>
    <row r="120" spans="1:19" s="163" customFormat="1" ht="12" customHeight="1">
      <c r="A120" s="136"/>
      <c r="B120" s="132"/>
      <c r="C120" s="137"/>
      <c r="D120" s="137"/>
      <c r="E120" s="137"/>
      <c r="F120" s="137"/>
      <c r="G120" s="137"/>
      <c r="H120" s="138"/>
      <c r="I120" s="139"/>
      <c r="J120" s="139"/>
      <c r="L120" s="135"/>
      <c r="M120" s="135"/>
      <c r="N120" s="135"/>
      <c r="O120" s="135"/>
      <c r="P120" s="130"/>
      <c r="Q120" s="127"/>
      <c r="R120" s="127"/>
      <c r="S120" s="127"/>
    </row>
    <row r="121" spans="1:19" s="163" customFormat="1" ht="12" customHeight="1">
      <c r="A121" s="136"/>
      <c r="B121" s="132"/>
      <c r="C121" s="137"/>
      <c r="D121" s="137"/>
      <c r="E121" s="137"/>
      <c r="F121" s="137"/>
      <c r="G121" s="137"/>
      <c r="H121" s="138"/>
      <c r="I121" s="139"/>
      <c r="J121" s="139"/>
      <c r="L121" s="135"/>
      <c r="M121" s="135"/>
      <c r="N121" s="135"/>
      <c r="O121" s="135"/>
      <c r="P121" s="130"/>
      <c r="Q121" s="127"/>
      <c r="R121" s="127"/>
      <c r="S121" s="127"/>
    </row>
    <row r="122" spans="1:19" s="163" customFormat="1" ht="12" customHeight="1">
      <c r="A122" s="136"/>
      <c r="B122" s="132"/>
      <c r="C122" s="137"/>
      <c r="D122" s="137"/>
      <c r="E122" s="137"/>
      <c r="F122" s="137"/>
      <c r="G122" s="137"/>
      <c r="H122" s="138"/>
      <c r="I122" s="139"/>
      <c r="J122" s="139"/>
      <c r="L122" s="135"/>
      <c r="M122" s="135"/>
      <c r="N122" s="135"/>
      <c r="O122" s="135"/>
      <c r="P122" s="130"/>
      <c r="Q122" s="127"/>
      <c r="R122" s="127"/>
      <c r="S122" s="127"/>
    </row>
    <row r="123" spans="1:19" s="163" customFormat="1" ht="12" customHeight="1">
      <c r="A123" s="136"/>
      <c r="B123" s="132"/>
      <c r="C123" s="137"/>
      <c r="D123" s="137"/>
      <c r="E123" s="137"/>
      <c r="F123" s="137"/>
      <c r="G123" s="137"/>
      <c r="H123" s="138"/>
      <c r="I123" s="139"/>
      <c r="J123" s="139"/>
      <c r="L123" s="135"/>
      <c r="M123" s="135"/>
      <c r="N123" s="135"/>
      <c r="O123" s="135"/>
      <c r="P123" s="130"/>
      <c r="Q123" s="127"/>
      <c r="R123" s="127"/>
      <c r="S123" s="127"/>
    </row>
    <row r="124" spans="1:19" s="163" customFormat="1" ht="12" customHeight="1">
      <c r="A124" s="136"/>
      <c r="B124" s="132"/>
      <c r="C124" s="137"/>
      <c r="D124" s="137"/>
      <c r="E124" s="137"/>
      <c r="F124" s="137"/>
      <c r="G124" s="137"/>
      <c r="H124" s="138"/>
      <c r="I124" s="139"/>
      <c r="J124" s="139"/>
      <c r="L124" s="135"/>
      <c r="M124" s="135"/>
      <c r="N124" s="135"/>
      <c r="O124" s="135"/>
      <c r="P124" s="130"/>
      <c r="Q124" s="127"/>
      <c r="R124" s="127"/>
      <c r="S124" s="127"/>
    </row>
  </sheetData>
  <mergeCells count="20">
    <mergeCell ref="R4:R5"/>
    <mergeCell ref="S4:S5"/>
    <mergeCell ref="A7:Q7"/>
    <mergeCell ref="A8:Q8"/>
    <mergeCell ref="Q4:Q5"/>
    <mergeCell ref="I4:K4"/>
    <mergeCell ref="L4:L5"/>
    <mergeCell ref="M4:M5"/>
    <mergeCell ref="N4:N5"/>
    <mergeCell ref="O4:O5"/>
    <mergeCell ref="P4:P5"/>
    <mergeCell ref="A4:A5"/>
    <mergeCell ref="B12:H12"/>
    <mergeCell ref="B16:M16"/>
    <mergeCell ref="B9:O9"/>
    <mergeCell ref="E4:E5"/>
    <mergeCell ref="F4:H4"/>
    <mergeCell ref="B4:B5"/>
    <mergeCell ref="C4:C5"/>
    <mergeCell ref="D4:D5"/>
  </mergeCells>
  <phoneticPr fontId="2" type="noConversion"/>
  <pageMargins left="0.74803149606299213" right="0.74803149606299213" top="0.78740157480314965" bottom="0.78740157480314965" header="0.51181102362204722" footer="0.51181102362204722"/>
  <pageSetup paperSize="9" scale="62" fitToHeight="3" orientation="landscape" r:id="rId1"/>
  <headerFooter alignWithMargins="0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8"/>
  <sheetViews>
    <sheetView view="pageBreakPreview" zoomScale="85" zoomScaleNormal="55" workbookViewId="0">
      <selection activeCell="A3" sqref="A3:XFD8"/>
    </sheetView>
  </sheetViews>
  <sheetFormatPr defaultRowHeight="13.5"/>
  <cols>
    <col min="1" max="1" width="3.77734375" customWidth="1"/>
    <col min="2" max="2" width="19.77734375" customWidth="1"/>
    <col min="3" max="3" width="36.77734375" customWidth="1"/>
    <col min="4" max="4" width="9.6640625" customWidth="1"/>
    <col min="6" max="16" width="10.33203125" customWidth="1"/>
    <col min="17" max="17" width="5.33203125" customWidth="1"/>
  </cols>
  <sheetData>
    <row r="1" spans="1:20" ht="39">
      <c r="A1" s="320"/>
      <c r="B1" s="631" t="s">
        <v>436</v>
      </c>
      <c r="C1" s="325" t="s">
        <v>686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ht="19.5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  <c r="Q2" s="123"/>
    </row>
    <row r="3" spans="1:20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120"/>
      <c r="M3" s="120"/>
      <c r="N3" s="120"/>
      <c r="O3" s="120"/>
      <c r="P3" s="121"/>
    </row>
    <row r="4" spans="1:20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20" s="125" customFormat="1" ht="33" customHeight="1">
      <c r="A5" s="993"/>
      <c r="B5" s="995"/>
      <c r="C5" s="1006"/>
      <c r="D5" s="1006"/>
      <c r="E5" s="1004"/>
      <c r="F5" s="753" t="s">
        <v>41</v>
      </c>
      <c r="G5" s="753" t="s">
        <v>42</v>
      </c>
      <c r="H5" s="754" t="s">
        <v>43</v>
      </c>
      <c r="I5" s="753" t="s">
        <v>44</v>
      </c>
      <c r="J5" s="753" t="s">
        <v>45</v>
      </c>
      <c r="K5" s="754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20" s="186" customFormat="1" ht="60.75" customHeight="1">
      <c r="A6" s="189">
        <v>1</v>
      </c>
      <c r="B6" s="190" t="s">
        <v>458</v>
      </c>
      <c r="C6" s="512" t="s">
        <v>407</v>
      </c>
      <c r="D6" s="199">
        <v>0</v>
      </c>
      <c r="E6" s="191">
        <v>10379</v>
      </c>
      <c r="F6" s="513">
        <v>37474</v>
      </c>
      <c r="G6" s="513">
        <v>40630</v>
      </c>
      <c r="H6" s="625">
        <f>IF(G6-F6+1&gt;=2*365,2*365,G6-F6+1)</f>
        <v>730</v>
      </c>
      <c r="I6" s="513">
        <v>37474</v>
      </c>
      <c r="J6" s="513">
        <v>39101</v>
      </c>
      <c r="K6" s="625">
        <f>IF(J6-I6+1&gt;=2*365,2*365,J6-I6+1)</f>
        <v>730</v>
      </c>
      <c r="L6" s="796">
        <v>1600000</v>
      </c>
      <c r="M6" s="625">
        <f>(IF(L6&gt;=3300000,3,IF(L6&gt;=1650000,2,1)))</f>
        <v>1</v>
      </c>
      <c r="N6" s="626" t="s">
        <v>457</v>
      </c>
      <c r="O6" s="191">
        <f>189+113+91+54</f>
        <v>447</v>
      </c>
      <c r="P6" s="635">
        <f>E6-O6</f>
        <v>9932</v>
      </c>
      <c r="Q6" s="797">
        <f>P6/(배점기준!$G$9/1000)*M6</f>
        <v>6.5959214466399123</v>
      </c>
      <c r="R6" s="637">
        <f>(IF(P6&lt;231,0,IF(Q6&gt;=4,6,IF(Q6&gt;=3.5,5,IF(Q6&gt;=3,4,IF(Q6&gt;=2.5,3,IF(Q6&gt;=2,2,IF(Q6&gt;=1.5,1.5,IF(Q6&gt;=1,1,IF(Q6&gt;=0.5,0.5,0.25))))))))))*K6/H6</f>
        <v>6</v>
      </c>
      <c r="S6" s="798"/>
      <c r="T6" s="181"/>
    </row>
    <row r="7" spans="1:20" s="186" customFormat="1" ht="41.25" customHeight="1">
      <c r="A7" s="986" t="s">
        <v>31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346">
        <f>SUM(R6:R6)</f>
        <v>6</v>
      </c>
      <c r="S7" s="799"/>
    </row>
    <row r="8" spans="1:20" s="188" customFormat="1" ht="41.25" customHeight="1" thickBot="1">
      <c r="A8" s="1010" t="s">
        <v>47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345">
        <f>R7</f>
        <v>6</v>
      </c>
      <c r="S8" s="800"/>
    </row>
  </sheetData>
  <mergeCells count="17">
    <mergeCell ref="L4:L5"/>
    <mergeCell ref="O4:O5"/>
    <mergeCell ref="R4:R5"/>
    <mergeCell ref="S4:S5"/>
    <mergeCell ref="A7:Q7"/>
    <mergeCell ref="A8:Q8"/>
    <mergeCell ref="M4:M5"/>
    <mergeCell ref="N4:N5"/>
    <mergeCell ref="A4:A5"/>
    <mergeCell ref="B4:B5"/>
    <mergeCell ref="C4:C5"/>
    <mergeCell ref="D4:D5"/>
    <mergeCell ref="Q4:Q5"/>
    <mergeCell ref="P4:P5"/>
    <mergeCell ref="E4:E5"/>
    <mergeCell ref="F4:H4"/>
    <mergeCell ref="I4:K4"/>
  </mergeCells>
  <phoneticPr fontId="2" type="noConversion"/>
  <pageMargins left="0.75" right="0.75" top="1" bottom="1" header="0.5" footer="0.5"/>
  <pageSetup paperSize="9" scale="5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3"/>
  </sheetPr>
  <dimension ref="A1:Q107"/>
  <sheetViews>
    <sheetView view="pageBreakPreview" topLeftCell="B1" zoomScale="85" zoomScaleNormal="55" zoomScaleSheetLayoutView="70" workbookViewId="0">
      <selection activeCell="D16" sqref="D16:F16"/>
    </sheetView>
  </sheetViews>
  <sheetFormatPr defaultRowHeight="15.95" customHeight="1"/>
  <cols>
    <col min="1" max="1" width="3" style="25" customWidth="1"/>
    <col min="2" max="2" width="17.77734375" style="25" customWidth="1"/>
    <col min="3" max="3" width="15.109375" style="25" customWidth="1"/>
    <col min="4" max="4" width="33.33203125" style="25" customWidth="1"/>
    <col min="5" max="5" width="27.88671875" style="25" customWidth="1"/>
    <col min="6" max="6" width="26.109375" style="25" customWidth="1"/>
    <col min="7" max="7" width="20.109375" style="25" customWidth="1"/>
    <col min="8" max="8" width="5.6640625" style="25" bestFit="1" customWidth="1"/>
    <col min="9" max="9" width="20.33203125" style="25" customWidth="1"/>
    <col min="10" max="10" width="17.33203125" style="25" customWidth="1"/>
    <col min="11" max="12" width="8" style="25" bestFit="1" customWidth="1"/>
    <col min="13" max="13" width="14" style="25" customWidth="1"/>
    <col min="14" max="14" width="8.109375" style="25" customWidth="1"/>
    <col min="15" max="15" width="12.77734375" style="25" customWidth="1"/>
    <col min="16" max="16" width="8.33203125" style="2" customWidth="1"/>
    <col min="17" max="17" width="7.88671875" style="19" customWidth="1"/>
    <col min="18" max="18" width="6.33203125" style="2" bestFit="1" customWidth="1"/>
    <col min="19" max="19" width="8.77734375" style="2" customWidth="1"/>
    <col min="20" max="20" width="6.33203125" style="2" bestFit="1" customWidth="1"/>
    <col min="21" max="21" width="8.5546875" style="2" customWidth="1"/>
    <col min="22" max="22" width="7.5546875" style="2" bestFit="1" customWidth="1"/>
    <col min="23" max="23" width="6" style="2" customWidth="1"/>
    <col min="24" max="24" width="9.44140625" style="2" customWidth="1"/>
    <col min="25" max="25" width="4" style="2" customWidth="1"/>
    <col min="26" max="26" width="7.77734375" style="2" customWidth="1"/>
    <col min="27" max="16384" width="8.88671875" style="2"/>
  </cols>
  <sheetData>
    <row r="1" spans="1:9" s="242" customFormat="1" ht="28.5" customHeight="1">
      <c r="A1" s="240"/>
      <c r="B1" s="112" t="s">
        <v>349</v>
      </c>
      <c r="C1" s="173"/>
      <c r="D1" s="173"/>
      <c r="E1" s="173"/>
      <c r="F1" s="173"/>
      <c r="H1" s="243"/>
    </row>
    <row r="2" spans="1:9" s="242" customFormat="1" ht="8.25" customHeight="1" thickBot="1">
      <c r="A2" s="240"/>
      <c r="B2" s="112"/>
      <c r="C2" s="173"/>
      <c r="D2" s="173"/>
      <c r="E2" s="173"/>
      <c r="F2" s="173"/>
      <c r="H2" s="243"/>
    </row>
    <row r="3" spans="1:9" s="245" customFormat="1" ht="33.75" customHeight="1">
      <c r="A3" s="244"/>
      <c r="B3" s="403" t="s">
        <v>350</v>
      </c>
      <c r="C3" s="404" t="s">
        <v>351</v>
      </c>
      <c r="D3" s="404" t="s">
        <v>352</v>
      </c>
      <c r="E3" s="404" t="s">
        <v>353</v>
      </c>
      <c r="F3" s="404" t="s">
        <v>354</v>
      </c>
      <c r="G3" s="405" t="s">
        <v>355</v>
      </c>
      <c r="I3" s="246"/>
    </row>
    <row r="4" spans="1:9" s="245" customFormat="1" ht="33.75" customHeight="1">
      <c r="A4" s="244"/>
      <c r="B4" s="1019" t="s">
        <v>643</v>
      </c>
      <c r="C4" s="1020"/>
      <c r="D4" s="1020"/>
      <c r="E4" s="1020"/>
      <c r="F4" s="1020"/>
      <c r="G4" s="1021"/>
      <c r="I4" s="246"/>
    </row>
    <row r="5" spans="1:9" s="245" customFormat="1" ht="33.75" customHeight="1">
      <c r="A5" s="244"/>
      <c r="B5" s="406" t="s">
        <v>635</v>
      </c>
      <c r="C5" s="504" t="s">
        <v>675</v>
      </c>
      <c r="D5" s="504"/>
      <c r="E5" s="524"/>
      <c r="F5" s="524"/>
      <c r="G5" s="505"/>
      <c r="I5" s="246"/>
    </row>
    <row r="6" spans="1:9" s="245" customFormat="1" ht="33.75" customHeight="1">
      <c r="A6" s="244"/>
      <c r="B6" s="406" t="s">
        <v>667</v>
      </c>
      <c r="C6" s="504" t="s">
        <v>675</v>
      </c>
      <c r="D6" s="504"/>
      <c r="E6" s="524"/>
      <c r="F6" s="524"/>
      <c r="G6" s="505"/>
      <c r="I6" s="246"/>
    </row>
    <row r="7" spans="1:9" s="245" customFormat="1" ht="33.75" customHeight="1">
      <c r="A7" s="244"/>
      <c r="B7" s="406" t="s">
        <v>668</v>
      </c>
      <c r="C7" s="504" t="s">
        <v>675</v>
      </c>
      <c r="D7" s="504"/>
      <c r="E7" s="524"/>
      <c r="F7" s="524"/>
      <c r="G7" s="505"/>
      <c r="I7" s="246"/>
    </row>
    <row r="8" spans="1:9" s="245" customFormat="1" ht="33.75" customHeight="1">
      <c r="A8" s="244"/>
      <c r="B8" s="406" t="s">
        <v>632</v>
      </c>
      <c r="C8" s="504" t="s">
        <v>675</v>
      </c>
      <c r="D8" s="504"/>
      <c r="E8" s="524"/>
      <c r="F8" s="524"/>
      <c r="G8" s="505"/>
      <c r="I8" s="246"/>
    </row>
    <row r="9" spans="1:9" s="245" customFormat="1" ht="33.75" customHeight="1">
      <c r="A9" s="244"/>
      <c r="B9" s="406" t="s">
        <v>636</v>
      </c>
      <c r="C9" s="504" t="s">
        <v>675</v>
      </c>
      <c r="D9" s="504"/>
      <c r="E9" s="524"/>
      <c r="F9" s="524"/>
      <c r="G9" s="505"/>
      <c r="I9" s="246"/>
    </row>
    <row r="10" spans="1:9" s="245" customFormat="1" ht="33.75" customHeight="1">
      <c r="A10" s="244"/>
      <c r="B10" s="406" t="s">
        <v>634</v>
      </c>
      <c r="C10" s="504" t="s">
        <v>675</v>
      </c>
      <c r="D10" s="504"/>
      <c r="E10" s="524"/>
      <c r="F10" s="524"/>
      <c r="G10" s="505"/>
      <c r="I10" s="246"/>
    </row>
    <row r="11" spans="1:9" s="245" customFormat="1" ht="33.75" customHeight="1">
      <c r="A11" s="244"/>
      <c r="B11" s="407" t="s">
        <v>637</v>
      </c>
      <c r="C11" s="504" t="s">
        <v>675</v>
      </c>
      <c r="D11" s="504"/>
      <c r="E11" s="524"/>
      <c r="F11" s="524"/>
      <c r="G11" s="505"/>
      <c r="I11" s="246"/>
    </row>
    <row r="12" spans="1:9" s="245" customFormat="1" ht="33.75" customHeight="1">
      <c r="A12" s="244"/>
      <c r="B12" s="406" t="s">
        <v>639</v>
      </c>
      <c r="C12" s="504" t="s">
        <v>675</v>
      </c>
      <c r="D12" s="504"/>
      <c r="E12" s="524"/>
      <c r="F12" s="524"/>
      <c r="G12" s="505"/>
      <c r="I12" s="246"/>
    </row>
    <row r="13" spans="1:9" s="245" customFormat="1" ht="33.75" customHeight="1">
      <c r="A13" s="244"/>
      <c r="B13" s="563" t="s">
        <v>669</v>
      </c>
      <c r="C13" s="504" t="s">
        <v>675</v>
      </c>
      <c r="D13" s="504"/>
      <c r="E13" s="524"/>
      <c r="F13" s="524"/>
      <c r="G13" s="564"/>
      <c r="I13" s="246"/>
    </row>
    <row r="14" spans="1:9" s="245" customFormat="1" ht="33.75" customHeight="1">
      <c r="A14" s="244"/>
      <c r="B14" s="406" t="s">
        <v>640</v>
      </c>
      <c r="C14" s="504" t="s">
        <v>675</v>
      </c>
      <c r="D14" s="504"/>
      <c r="E14" s="524"/>
      <c r="F14" s="524"/>
      <c r="G14" s="505"/>
      <c r="I14" s="246"/>
    </row>
    <row r="15" spans="1:9" s="245" customFormat="1" ht="33.75" customHeight="1">
      <c r="A15" s="244"/>
      <c r="B15" s="406" t="s">
        <v>638</v>
      </c>
      <c r="C15" s="504" t="s">
        <v>675</v>
      </c>
      <c r="D15" s="504"/>
      <c r="E15" s="524"/>
      <c r="F15" s="524"/>
      <c r="G15" s="505"/>
      <c r="I15" s="246"/>
    </row>
    <row r="16" spans="1:9" s="242" customFormat="1" ht="33.75" customHeight="1" thickBot="1">
      <c r="A16" s="240"/>
      <c r="B16" s="408" t="s">
        <v>275</v>
      </c>
      <c r="C16" s="600"/>
      <c r="D16" s="1018" t="s">
        <v>641</v>
      </c>
      <c r="E16" s="1018"/>
      <c r="F16" s="1018"/>
      <c r="G16" s="582">
        <v>1</v>
      </c>
      <c r="I16" s="243"/>
    </row>
    <row r="17" spans="1:16" s="242" customFormat="1" ht="10.5">
      <c r="A17" s="241"/>
      <c r="B17" s="241"/>
      <c r="C17" s="241"/>
      <c r="D17" s="241"/>
      <c r="E17" s="241"/>
      <c r="F17" s="241"/>
      <c r="H17" s="243"/>
    </row>
    <row r="18" spans="1:16" s="242" customFormat="1" ht="15.95" customHeight="1">
      <c r="A18" s="241"/>
      <c r="B18" s="241"/>
      <c r="C18" s="241"/>
      <c r="D18" s="241"/>
      <c r="E18" s="241"/>
      <c r="F18" s="241"/>
      <c r="H18" s="243"/>
      <c r="P18" s="551" t="e">
        <f>기술투자!#REF!</f>
        <v>#REF!</v>
      </c>
    </row>
    <row r="19" spans="1:16" s="242" customFormat="1" ht="15.95" customHeight="1">
      <c r="A19" s="241"/>
      <c r="B19" s="241"/>
      <c r="C19" s="241"/>
      <c r="D19" s="241"/>
      <c r="E19" s="241"/>
      <c r="F19" s="241"/>
      <c r="H19" s="243"/>
    </row>
    <row r="20" spans="1:16" s="242" customFormat="1" ht="15.95" customHeight="1">
      <c r="A20" s="241"/>
      <c r="B20" s="241"/>
      <c r="C20" s="241"/>
      <c r="D20" s="241"/>
      <c r="E20" s="241"/>
      <c r="F20" s="241"/>
      <c r="H20" s="243"/>
    </row>
    <row r="21" spans="1:16" s="242" customFormat="1" ht="15.95" customHeight="1">
      <c r="A21" s="241"/>
      <c r="B21" s="241"/>
      <c r="C21" s="241"/>
      <c r="D21" s="241"/>
      <c r="E21" s="241"/>
      <c r="F21" s="241"/>
      <c r="H21" s="243"/>
    </row>
    <row r="22" spans="1:16" s="242" customFormat="1" ht="15.95" customHeight="1">
      <c r="A22" s="241"/>
      <c r="B22" s="241"/>
      <c r="C22" s="241"/>
      <c r="D22" s="241"/>
      <c r="E22" s="241"/>
      <c r="F22" s="241"/>
      <c r="H22" s="243"/>
    </row>
    <row r="23" spans="1:16" s="242" customFormat="1" ht="15.95" customHeight="1">
      <c r="A23" s="241"/>
      <c r="B23" s="241"/>
      <c r="C23" s="241"/>
      <c r="D23" s="241"/>
      <c r="E23" s="241"/>
      <c r="F23" s="241"/>
      <c r="H23" s="243"/>
    </row>
    <row r="24" spans="1:16" s="242" customFormat="1" ht="10.5">
      <c r="A24" s="241"/>
      <c r="B24" s="241"/>
      <c r="C24" s="241"/>
      <c r="D24" s="241"/>
      <c r="E24" s="241"/>
      <c r="F24" s="241"/>
      <c r="H24" s="243"/>
    </row>
    <row r="25" spans="1:16" s="242" customFormat="1" ht="15.95" customHeight="1">
      <c r="A25" s="241"/>
      <c r="B25" s="241"/>
      <c r="C25" s="241"/>
      <c r="D25" s="241"/>
      <c r="E25" s="241"/>
      <c r="F25" s="241"/>
      <c r="H25" s="243"/>
    </row>
    <row r="26" spans="1:16" s="242" customFormat="1" ht="15.95" customHeight="1">
      <c r="A26" s="241"/>
      <c r="B26" s="241"/>
      <c r="C26" s="241"/>
      <c r="D26" s="241"/>
      <c r="E26" s="241"/>
      <c r="F26" s="241"/>
      <c r="H26" s="243"/>
    </row>
    <row r="27" spans="1:16" s="242" customFormat="1" ht="15.95" customHeight="1">
      <c r="A27" s="241"/>
      <c r="B27" s="241"/>
      <c r="C27" s="241"/>
      <c r="D27" s="241"/>
      <c r="E27" s="241"/>
      <c r="F27" s="241"/>
      <c r="H27" s="243"/>
    </row>
    <row r="28" spans="1:16" s="242" customFormat="1" ht="15.95" customHeight="1">
      <c r="A28" s="241"/>
      <c r="B28" s="241"/>
      <c r="C28" s="241"/>
      <c r="D28" s="241"/>
      <c r="E28" s="241"/>
      <c r="F28" s="241"/>
      <c r="H28" s="243"/>
    </row>
    <row r="29" spans="1:16" s="242" customFormat="1" ht="15.95" customHeight="1">
      <c r="A29" s="241"/>
      <c r="B29" s="241"/>
      <c r="C29" s="241"/>
      <c r="D29" s="241"/>
      <c r="E29" s="241"/>
      <c r="F29" s="241"/>
      <c r="H29" s="243"/>
    </row>
    <row r="30" spans="1:16" s="242" customFormat="1" ht="15.95" customHeight="1">
      <c r="A30" s="241"/>
      <c r="B30" s="241"/>
      <c r="C30" s="241"/>
      <c r="D30" s="241"/>
      <c r="E30" s="241"/>
      <c r="F30" s="241"/>
      <c r="H30" s="243"/>
    </row>
    <row r="31" spans="1:16" s="242" customFormat="1" ht="15.95" customHeight="1">
      <c r="A31" s="241"/>
      <c r="B31" s="241"/>
      <c r="C31" s="241"/>
      <c r="D31" s="241"/>
      <c r="E31" s="241"/>
      <c r="F31" s="241"/>
      <c r="H31" s="243"/>
    </row>
    <row r="32" spans="1:16" s="242" customFormat="1" ht="10.5">
      <c r="A32" s="241"/>
      <c r="B32" s="241"/>
      <c r="C32" s="241"/>
      <c r="D32" s="241"/>
      <c r="E32" s="241"/>
      <c r="F32" s="241"/>
      <c r="H32" s="243"/>
    </row>
    <row r="33" spans="1:17" s="242" customFormat="1" ht="15.95" customHeight="1">
      <c r="A33" s="241"/>
      <c r="B33" s="241"/>
      <c r="C33" s="241"/>
      <c r="D33" s="241"/>
      <c r="E33" s="241"/>
      <c r="F33" s="241"/>
      <c r="H33" s="243"/>
    </row>
    <row r="34" spans="1:17" s="242" customFormat="1" ht="15.95" customHeight="1">
      <c r="A34" s="241"/>
      <c r="B34" s="241"/>
      <c r="C34" s="241"/>
      <c r="D34" s="241"/>
      <c r="E34" s="241"/>
      <c r="F34" s="241"/>
      <c r="H34" s="243"/>
    </row>
    <row r="35" spans="1:17" s="242" customFormat="1" ht="15.95" customHeight="1">
      <c r="A35" s="241"/>
      <c r="B35" s="241"/>
      <c r="C35" s="241"/>
      <c r="D35" s="241"/>
      <c r="E35" s="241"/>
      <c r="F35" s="241"/>
      <c r="H35" s="243"/>
    </row>
    <row r="36" spans="1:17" s="242" customFormat="1" ht="15.95" customHeight="1">
      <c r="A36" s="241"/>
      <c r="B36" s="241"/>
      <c r="C36" s="241"/>
      <c r="D36" s="241"/>
      <c r="E36" s="241"/>
      <c r="F36" s="241"/>
      <c r="H36" s="243"/>
    </row>
    <row r="37" spans="1:17" s="242" customFormat="1" ht="15.95" customHeight="1">
      <c r="A37" s="241"/>
      <c r="B37" s="241"/>
      <c r="C37" s="241"/>
      <c r="D37" s="241"/>
      <c r="E37" s="241"/>
      <c r="F37" s="241"/>
      <c r="H37" s="243"/>
    </row>
    <row r="38" spans="1:17" s="242" customFormat="1" ht="15.95" customHeight="1">
      <c r="A38" s="241"/>
      <c r="B38" s="241"/>
      <c r="C38" s="241"/>
      <c r="D38" s="241"/>
      <c r="E38" s="241"/>
      <c r="F38" s="241"/>
      <c r="H38" s="243"/>
    </row>
    <row r="39" spans="1:17" s="242" customFormat="1" ht="15.95" customHeight="1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Q39" s="243"/>
    </row>
    <row r="40" spans="1:17" s="242" customFormat="1" ht="15.95" customHeight="1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Q40" s="243"/>
    </row>
    <row r="41" spans="1:17" s="242" customFormat="1" ht="15.95" customHeigh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Q41" s="243"/>
    </row>
    <row r="42" spans="1:17" s="242" customFormat="1" ht="15.95" customHeight="1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Q42" s="243"/>
    </row>
    <row r="43" spans="1:17" s="242" customFormat="1" ht="15.95" customHeight="1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Q43" s="243"/>
    </row>
    <row r="44" spans="1:17" s="242" customFormat="1" ht="15.95" customHeight="1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Q44" s="243"/>
    </row>
    <row r="45" spans="1:17" s="242" customFormat="1" ht="15.95" customHeight="1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Q45" s="243"/>
    </row>
    <row r="46" spans="1:17" s="242" customFormat="1" ht="15.95" customHeight="1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Q46" s="243"/>
    </row>
    <row r="47" spans="1:17" s="242" customFormat="1" ht="15.95" customHeight="1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Q47" s="243"/>
    </row>
    <row r="48" spans="1:17" s="242" customFormat="1" ht="15.95" customHeight="1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Q48" s="243"/>
    </row>
    <row r="49" spans="1:17" s="242" customFormat="1" ht="15.95" customHeight="1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Q49" s="243"/>
    </row>
    <row r="50" spans="1:17" s="242" customFormat="1" ht="15.95" customHeight="1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Q50" s="243"/>
    </row>
    <row r="51" spans="1:17" s="242" customFormat="1" ht="15.95" customHeight="1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Q51" s="243"/>
    </row>
    <row r="52" spans="1:17" s="242" customFormat="1" ht="15.95" customHeight="1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Q52" s="243"/>
    </row>
    <row r="53" spans="1:17" s="242" customFormat="1" ht="15.95" customHeight="1">
      <c r="A53" s="241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Q53" s="243"/>
    </row>
    <row r="54" spans="1:17" s="242" customFormat="1" ht="15.95" customHeight="1">
      <c r="A54" s="241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Q54" s="243"/>
    </row>
    <row r="55" spans="1:17" s="242" customFormat="1" ht="15.95" customHeight="1">
      <c r="A55" s="241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Q55" s="243"/>
    </row>
    <row r="56" spans="1:17" s="242" customFormat="1" ht="15.95" customHeight="1">
      <c r="A56" s="241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Q56" s="243"/>
    </row>
    <row r="57" spans="1:17" s="242" customFormat="1" ht="15.95" customHeight="1">
      <c r="A57" s="241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Q57" s="243"/>
    </row>
    <row r="58" spans="1:17" s="242" customFormat="1" ht="15.95" customHeight="1">
      <c r="A58" s="241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Q58" s="243"/>
    </row>
    <row r="59" spans="1:17" s="242" customFormat="1" ht="15.95" customHeight="1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Q59" s="243"/>
    </row>
    <row r="60" spans="1:17" s="242" customFormat="1" ht="15.95" customHeight="1">
      <c r="A60" s="241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Q60" s="243"/>
    </row>
    <row r="61" spans="1:17" s="242" customFormat="1" ht="15.95" customHeight="1">
      <c r="A61" s="241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Q61" s="243"/>
    </row>
    <row r="62" spans="1:17" s="242" customFormat="1" ht="15.95" customHeight="1">
      <c r="A62" s="241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Q62" s="243"/>
    </row>
    <row r="63" spans="1:17" s="242" customFormat="1" ht="15.95" customHeight="1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Q63" s="243"/>
    </row>
    <row r="64" spans="1:17" s="242" customFormat="1" ht="15.95" customHeight="1">
      <c r="A64" s="241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Q64" s="243"/>
    </row>
    <row r="65" spans="1:17" s="242" customFormat="1" ht="15.95" customHeight="1">
      <c r="A65" s="241"/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Q65" s="243"/>
    </row>
    <row r="66" spans="1:17" s="242" customFormat="1" ht="15.95" customHeight="1">
      <c r="A66" s="241"/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Q66" s="243"/>
    </row>
    <row r="67" spans="1:17" s="242" customFormat="1" ht="15.95" customHeight="1">
      <c r="A67" s="241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Q67" s="243"/>
    </row>
    <row r="68" spans="1:17" s="242" customFormat="1" ht="15.95" customHeight="1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Q68" s="243"/>
    </row>
    <row r="69" spans="1:17" s="242" customFormat="1" ht="15.95" customHeight="1">
      <c r="A69" s="241"/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Q69" s="243"/>
    </row>
    <row r="70" spans="1:17" s="242" customFormat="1" ht="15.95" customHeight="1">
      <c r="A70" s="241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Q70" s="243"/>
    </row>
    <row r="71" spans="1:17" s="242" customFormat="1" ht="15.95" customHeight="1">
      <c r="A71" s="241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Q71" s="243"/>
    </row>
    <row r="72" spans="1:17" s="242" customFormat="1" ht="15.95" customHeight="1">
      <c r="A72" s="241"/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Q72" s="243"/>
    </row>
    <row r="73" spans="1:17" s="242" customFormat="1" ht="15.95" customHeight="1">
      <c r="A73" s="241"/>
      <c r="B73" s="241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Q73" s="243"/>
    </row>
    <row r="74" spans="1:17" s="242" customFormat="1" ht="15.95" customHeight="1">
      <c r="A74" s="241"/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Q74" s="243"/>
    </row>
    <row r="75" spans="1:17" s="242" customFormat="1" ht="15.95" customHeight="1">
      <c r="A75" s="241"/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Q75" s="243"/>
    </row>
    <row r="76" spans="1:17" s="242" customFormat="1" ht="15.95" customHeight="1">
      <c r="A76" s="241"/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Q76" s="243"/>
    </row>
    <row r="77" spans="1:17" s="242" customFormat="1" ht="15.95" customHeight="1">
      <c r="A77" s="241"/>
      <c r="B77" s="241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Q77" s="243"/>
    </row>
    <row r="78" spans="1:17" s="242" customFormat="1" ht="15.95" customHeight="1">
      <c r="A78" s="241"/>
      <c r="B78" s="241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Q78" s="243"/>
    </row>
    <row r="79" spans="1:17" s="242" customFormat="1" ht="15.95" customHeight="1">
      <c r="A79" s="241"/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Q79" s="243"/>
    </row>
    <row r="80" spans="1:17" s="242" customFormat="1" ht="15.95" customHeight="1">
      <c r="A80" s="241"/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Q80" s="243"/>
    </row>
    <row r="81" spans="1:17" s="242" customFormat="1" ht="15.95" customHeight="1">
      <c r="A81" s="241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Q81" s="243"/>
    </row>
    <row r="82" spans="1:17" s="242" customFormat="1" ht="15.95" customHeight="1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Q82" s="243"/>
    </row>
    <row r="83" spans="1:17" s="242" customFormat="1" ht="15.95" customHeight="1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Q83" s="243"/>
    </row>
    <row r="84" spans="1:17" s="242" customFormat="1" ht="15.95" customHeight="1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Q84" s="243"/>
    </row>
    <row r="85" spans="1:17" s="242" customFormat="1" ht="15.95" customHeight="1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Q85" s="243"/>
    </row>
    <row r="86" spans="1:17" s="242" customFormat="1" ht="15.95" customHeight="1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Q86" s="243"/>
    </row>
    <row r="87" spans="1:17" s="242" customFormat="1" ht="15.95" customHeight="1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Q87" s="243"/>
    </row>
    <row r="88" spans="1:17" s="242" customFormat="1" ht="15.95" customHeight="1">
      <c r="A88" s="241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Q88" s="243"/>
    </row>
    <row r="89" spans="1:17" s="242" customFormat="1" ht="15.95" customHeight="1">
      <c r="A89" s="241"/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Q89" s="243"/>
    </row>
    <row r="90" spans="1:17" s="242" customFormat="1" ht="15.95" customHeight="1">
      <c r="A90" s="241"/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Q90" s="243"/>
    </row>
    <row r="91" spans="1:17" s="242" customFormat="1" ht="15.95" customHeight="1">
      <c r="A91" s="241"/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Q91" s="243"/>
    </row>
    <row r="92" spans="1:17" s="242" customFormat="1" ht="15.95" customHeight="1">
      <c r="A92" s="241"/>
      <c r="B92" s="241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Q92" s="243"/>
    </row>
    <row r="93" spans="1:17" s="242" customFormat="1" ht="15.95" customHeight="1">
      <c r="A93" s="241"/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243"/>
    </row>
    <row r="94" spans="1:17" s="242" customFormat="1" ht="15.95" customHeight="1">
      <c r="A94" s="241"/>
      <c r="B94" s="241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Q94" s="243"/>
    </row>
    <row r="95" spans="1:17" s="242" customFormat="1" ht="15.95" customHeight="1">
      <c r="A95" s="241"/>
      <c r="B95" s="241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Q95" s="243"/>
    </row>
    <row r="96" spans="1:17" s="242" customFormat="1" ht="15.95" customHeight="1">
      <c r="A96" s="241"/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Q96" s="243"/>
    </row>
    <row r="97" spans="1:17" s="242" customFormat="1" ht="15.95" customHeight="1">
      <c r="A97" s="241"/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Q97" s="243"/>
    </row>
    <row r="98" spans="1:17" s="242" customFormat="1" ht="15.95" customHeight="1">
      <c r="A98" s="241"/>
      <c r="B98" s="241"/>
      <c r="C98" s="241"/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Q98" s="243"/>
    </row>
    <row r="99" spans="1:17" s="242" customFormat="1" ht="15.95" customHeight="1">
      <c r="A99" s="241"/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Q99" s="243"/>
    </row>
    <row r="100" spans="1:17" s="242" customFormat="1" ht="15.95" customHeight="1">
      <c r="A100" s="241"/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Q100" s="243"/>
    </row>
    <row r="101" spans="1:17" s="242" customFormat="1" ht="15.95" customHeight="1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Q101" s="243"/>
    </row>
    <row r="102" spans="1:17" s="242" customFormat="1" ht="15.95" customHeight="1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Q102" s="243"/>
    </row>
    <row r="103" spans="1:17" s="242" customFormat="1" ht="15.95" customHeight="1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Q103" s="243"/>
    </row>
    <row r="104" spans="1:17" s="242" customFormat="1" ht="15.95" customHeight="1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Q104" s="243"/>
    </row>
    <row r="105" spans="1:17" s="242" customFormat="1" ht="15.95" customHeight="1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Q105" s="243"/>
    </row>
    <row r="106" spans="1:17" s="242" customFormat="1" ht="15.95" customHeight="1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Q106" s="243"/>
    </row>
    <row r="107" spans="1:17" ht="15.95" customHeight="1">
      <c r="B107" s="241"/>
      <c r="C107" s="241"/>
      <c r="D107" s="241"/>
      <c r="E107" s="241"/>
      <c r="F107" s="241"/>
    </row>
  </sheetData>
  <mergeCells count="2">
    <mergeCell ref="D16:F16"/>
    <mergeCell ref="B4:G4"/>
  </mergeCells>
  <phoneticPr fontId="2" type="noConversion"/>
  <pageMargins left="0.74803149606299213" right="0.74803149606299213" top="0.84" bottom="0.64" header="0.51181102362204722" footer="0.51181102362204722"/>
  <pageSetup paperSize="9" scale="75" fitToHeight="4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3"/>
    <pageSetUpPr fitToPage="1"/>
  </sheetPr>
  <dimension ref="A1:AA23"/>
  <sheetViews>
    <sheetView view="pageBreakPreview" zoomScale="85" zoomScaleNormal="55" zoomScaleSheetLayoutView="70" workbookViewId="0">
      <selection activeCell="D9" sqref="D9"/>
    </sheetView>
  </sheetViews>
  <sheetFormatPr defaultRowHeight="15.95" customHeight="1"/>
  <cols>
    <col min="1" max="1" width="1.88671875" style="25" customWidth="1"/>
    <col min="2" max="2" width="17.5546875" style="25" customWidth="1"/>
    <col min="3" max="3" width="13.44140625" style="25" customWidth="1"/>
    <col min="4" max="5" width="14.21875" style="25" customWidth="1"/>
    <col min="6" max="7" width="14.6640625" style="25" customWidth="1"/>
    <col min="8" max="8" width="18.33203125" style="25" customWidth="1"/>
    <col min="9" max="12" width="5.6640625" style="25" bestFit="1" customWidth="1"/>
    <col min="13" max="13" width="6.5546875" style="25" customWidth="1"/>
    <col min="14" max="14" width="6.44140625" style="25" customWidth="1"/>
    <col min="15" max="19" width="5.6640625" style="2" bestFit="1" customWidth="1"/>
    <col min="20" max="20" width="5.77734375" style="2" customWidth="1"/>
    <col min="21" max="21" width="5.6640625" style="2" bestFit="1" customWidth="1"/>
    <col min="22" max="22" width="5.5546875" style="2" customWidth="1"/>
    <col min="23" max="24" width="7.88671875" style="2" customWidth="1"/>
    <col min="25" max="25" width="9.109375" style="2" customWidth="1"/>
    <col min="26" max="26" width="8.33203125" style="2" customWidth="1"/>
    <col min="27" max="27" width="7.88671875" style="19" customWidth="1"/>
    <col min="28" max="28" width="6.33203125" style="2" bestFit="1" customWidth="1"/>
    <col min="29" max="29" width="8.77734375" style="2" customWidth="1"/>
    <col min="30" max="30" width="6.33203125" style="2" bestFit="1" customWidth="1"/>
    <col min="31" max="31" width="8.5546875" style="2" customWidth="1"/>
    <col min="32" max="32" width="7.5546875" style="2" bestFit="1" customWidth="1"/>
    <col min="33" max="33" width="6" style="2" customWidth="1"/>
    <col min="34" max="34" width="9.44140625" style="2" customWidth="1"/>
    <col min="35" max="35" width="4" style="2" customWidth="1"/>
    <col min="36" max="36" width="7.77734375" style="2" customWidth="1"/>
    <col min="37" max="16384" width="8.88671875" style="2"/>
  </cols>
  <sheetData>
    <row r="1" spans="1:27" s="8" customFormat="1" ht="18.75" customHeight="1">
      <c r="A1" s="77"/>
      <c r="B1" s="77" t="s">
        <v>244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AA1" s="20"/>
    </row>
    <row r="2" spans="1:27" s="4" customFormat="1" ht="20.100000000000001" customHeight="1">
      <c r="A2" s="10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AA2" s="18"/>
    </row>
    <row r="3" spans="1:27" s="4" customFormat="1" ht="37.5" customHeight="1">
      <c r="A3" s="106"/>
      <c r="B3" s="279" t="s">
        <v>240</v>
      </c>
      <c r="C3" s="1022" t="s">
        <v>646</v>
      </c>
      <c r="D3" s="1022"/>
      <c r="E3" s="1022"/>
      <c r="F3" s="1022"/>
      <c r="G3" s="1022"/>
      <c r="H3" s="1022"/>
      <c r="I3" s="26"/>
      <c r="J3" s="26"/>
      <c r="K3" s="26"/>
      <c r="L3" s="26"/>
      <c r="M3" s="26"/>
      <c r="N3" s="26"/>
      <c r="AA3" s="18"/>
    </row>
    <row r="4" spans="1:27" s="4" customFormat="1" ht="57.75" customHeight="1">
      <c r="A4" s="106"/>
      <c r="B4" s="1024" t="s">
        <v>364</v>
      </c>
      <c r="C4" s="1025"/>
      <c r="D4" s="1025"/>
      <c r="E4" s="1025"/>
      <c r="F4" s="1025"/>
      <c r="G4" s="1025"/>
      <c r="H4" s="1026"/>
      <c r="I4" s="26"/>
      <c r="J4" s="26"/>
      <c r="K4" s="26"/>
      <c r="L4" s="26"/>
      <c r="M4" s="26"/>
      <c r="N4" s="26"/>
      <c r="AA4" s="18"/>
    </row>
    <row r="5" spans="1:27" s="4" customFormat="1" ht="57.75" customHeight="1">
      <c r="A5" s="106"/>
      <c r="B5" s="279" t="s">
        <v>366</v>
      </c>
      <c r="C5" s="1027"/>
      <c r="D5" s="1027"/>
      <c r="E5" s="279" t="s">
        <v>371</v>
      </c>
      <c r="F5" s="1028"/>
      <c r="G5" s="1028"/>
      <c r="H5" s="1028"/>
      <c r="I5" s="26"/>
      <c r="J5" s="26"/>
      <c r="W5" s="18"/>
    </row>
    <row r="6" spans="1:27" s="4" customFormat="1" ht="57.75" customHeight="1">
      <c r="A6" s="106"/>
      <c r="B6" s="279" t="s">
        <v>370</v>
      </c>
      <c r="C6" s="1022"/>
      <c r="D6" s="1022"/>
      <c r="E6" s="1022"/>
      <c r="F6" s="1022"/>
      <c r="G6" s="1022"/>
      <c r="H6" s="1022"/>
      <c r="I6" s="26"/>
      <c r="J6" s="26"/>
      <c r="W6" s="18"/>
    </row>
    <row r="7" spans="1:27" s="4" customFormat="1" ht="57.75" customHeight="1">
      <c r="A7" s="106"/>
      <c r="B7" s="279" t="s">
        <v>241</v>
      </c>
      <c r="C7" s="1022"/>
      <c r="D7" s="1022"/>
      <c r="E7" s="1022"/>
      <c r="F7" s="1023" t="s">
        <v>356</v>
      </c>
      <c r="G7" s="1023"/>
      <c r="H7" s="1023"/>
      <c r="I7" s="26"/>
      <c r="J7" s="26"/>
      <c r="K7" s="26"/>
      <c r="L7" s="26"/>
      <c r="M7" s="26"/>
      <c r="N7" s="26"/>
      <c r="AA7" s="18"/>
    </row>
    <row r="8" spans="1:27" s="4" customFormat="1" ht="57.75" customHeight="1">
      <c r="A8" s="106"/>
      <c r="B8" s="1023" t="s">
        <v>272</v>
      </c>
      <c r="C8" s="279" t="s">
        <v>357</v>
      </c>
      <c r="D8" s="279" t="s">
        <v>242</v>
      </c>
      <c r="E8" s="279" t="s">
        <v>358</v>
      </c>
      <c r="F8" s="279" t="s">
        <v>359</v>
      </c>
      <c r="G8" s="279" t="s">
        <v>360</v>
      </c>
      <c r="H8" s="279" t="s">
        <v>361</v>
      </c>
      <c r="I8" s="26"/>
      <c r="J8" s="26"/>
      <c r="K8" s="26"/>
      <c r="L8" s="26"/>
      <c r="M8" s="26"/>
      <c r="N8" s="26"/>
      <c r="AA8" s="18"/>
    </row>
    <row r="9" spans="1:27" s="4" customFormat="1" ht="57.75" customHeight="1">
      <c r="A9" s="26"/>
      <c r="B9" s="1023"/>
      <c r="C9" s="501" t="s">
        <v>318</v>
      </c>
      <c r="D9" s="503"/>
      <c r="E9" s="503"/>
      <c r="F9" s="501"/>
      <c r="G9" s="501"/>
      <c r="H9" s="501"/>
      <c r="I9" s="26"/>
      <c r="J9" s="26"/>
      <c r="K9" s="26"/>
      <c r="L9" s="26"/>
      <c r="M9" s="26"/>
      <c r="N9" s="26"/>
    </row>
    <row r="10" spans="1:27" ht="20.100000000000001" customHeight="1">
      <c r="I10" s="110"/>
      <c r="J10" s="110"/>
      <c r="K10" s="26"/>
      <c r="L10" s="26"/>
      <c r="M10" s="26"/>
      <c r="N10" s="26"/>
      <c r="O10" s="4"/>
      <c r="P10" s="4"/>
      <c r="Q10" s="4"/>
      <c r="R10" s="4"/>
      <c r="S10" s="4"/>
      <c r="T10" s="4"/>
      <c r="U10" s="4"/>
      <c r="V10" s="4"/>
    </row>
    <row r="11" spans="1:27" ht="18.75" customHeight="1">
      <c r="B11" s="174"/>
      <c r="C11" s="180"/>
      <c r="D11" s="176"/>
      <c r="E11" s="176"/>
      <c r="F11" s="111"/>
      <c r="G11" s="111"/>
      <c r="H11" s="180"/>
      <c r="I11" s="180"/>
      <c r="J11" s="176"/>
      <c r="K11" s="180"/>
      <c r="L11" s="176"/>
      <c r="M11" s="111"/>
      <c r="N11" s="111"/>
    </row>
    <row r="12" spans="1:27" ht="18.75" customHeight="1">
      <c r="B12" s="178" t="s">
        <v>239</v>
      </c>
      <c r="C12" s="171" t="s">
        <v>362</v>
      </c>
      <c r="D12" s="173"/>
      <c r="E12" s="173"/>
      <c r="F12" s="173"/>
      <c r="G12" s="173"/>
      <c r="H12" s="179"/>
    </row>
    <row r="13" spans="1:27" ht="15.95" customHeight="1">
      <c r="B13" s="178" t="s">
        <v>235</v>
      </c>
      <c r="C13" s="171" t="s">
        <v>363</v>
      </c>
      <c r="D13" s="173"/>
      <c r="E13" s="173"/>
      <c r="F13" s="173"/>
      <c r="G13" s="173"/>
      <c r="H13" s="173"/>
    </row>
    <row r="14" spans="1:27" ht="15.95" customHeight="1">
      <c r="B14" s="178"/>
      <c r="C14" s="171"/>
      <c r="D14" s="173"/>
      <c r="E14" s="173"/>
      <c r="F14" s="173"/>
      <c r="G14" s="173"/>
      <c r="H14" s="173"/>
    </row>
    <row r="15" spans="1:27" ht="15.95" customHeight="1">
      <c r="B15" s="178"/>
      <c r="C15" s="171"/>
      <c r="D15" s="173"/>
      <c r="E15" s="173"/>
      <c r="F15" s="173"/>
      <c r="G15" s="173"/>
      <c r="H15" s="173"/>
    </row>
    <row r="16" spans="1:27" ht="15.95" customHeight="1">
      <c r="B16" s="173"/>
      <c r="C16" s="173"/>
      <c r="D16" s="173"/>
      <c r="E16" s="173"/>
      <c r="F16" s="173"/>
      <c r="G16" s="173"/>
      <c r="H16" s="173"/>
    </row>
    <row r="23" spans="16:16" ht="15.95" customHeight="1">
      <c r="P23" s="548" t="e">
        <f>기술투자!#REF!</f>
        <v>#REF!</v>
      </c>
    </row>
  </sheetData>
  <mergeCells count="8">
    <mergeCell ref="C6:H6"/>
    <mergeCell ref="B8:B9"/>
    <mergeCell ref="C7:E7"/>
    <mergeCell ref="C3:H3"/>
    <mergeCell ref="F7:H7"/>
    <mergeCell ref="B4:H4"/>
    <mergeCell ref="C5:D5"/>
    <mergeCell ref="F5:H5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landscape" horizontalDpi="4294967293" r:id="rId1"/>
  <headerFooter alignWithMargins="0"/>
  <colBreaks count="1" manualBreakCount="1">
    <brk id="34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P43"/>
  <sheetViews>
    <sheetView view="pageBreakPreview" zoomScale="115" zoomScaleNormal="85" zoomScaleSheetLayoutView="115" workbookViewId="0">
      <selection activeCell="D6" sqref="D6"/>
    </sheetView>
  </sheetViews>
  <sheetFormatPr defaultRowHeight="13.5"/>
  <cols>
    <col min="1" max="1" width="4" style="2" customWidth="1"/>
    <col min="2" max="2" width="15.6640625" style="2" customWidth="1"/>
    <col min="3" max="3" width="20.77734375" style="2" customWidth="1"/>
    <col min="4" max="4" width="22" style="2" customWidth="1"/>
    <col min="5" max="5" width="21.88671875" style="2" customWidth="1"/>
    <col min="6" max="6" width="20.77734375" style="2" customWidth="1"/>
    <col min="7" max="7" width="10.77734375" style="2" customWidth="1"/>
    <col min="8" max="9" width="8.88671875" style="2"/>
    <col min="10" max="10" width="11.5546875" style="2" customWidth="1"/>
    <col min="11" max="16384" width="8.88671875" style="2"/>
  </cols>
  <sheetData>
    <row r="1" spans="1:8" ht="12" customHeight="1" thickBot="1"/>
    <row r="2" spans="1:8" ht="47.25" customHeight="1" thickBot="1">
      <c r="B2" s="850" t="s">
        <v>670</v>
      </c>
      <c r="C2" s="851"/>
      <c r="D2" s="851"/>
      <c r="E2" s="851"/>
      <c r="F2" s="851"/>
      <c r="G2" s="852"/>
    </row>
    <row r="3" spans="1:8" s="3" customFormat="1" ht="27" customHeight="1">
      <c r="B3" s="24"/>
      <c r="C3" s="24"/>
      <c r="D3" s="24"/>
      <c r="E3" s="24"/>
      <c r="F3" s="24"/>
      <c r="G3" s="24"/>
    </row>
    <row r="4" spans="1:8" ht="36" customHeight="1">
      <c r="B4" s="312" t="s">
        <v>279</v>
      </c>
      <c r="C4" s="312"/>
      <c r="D4" s="312"/>
      <c r="E4" s="312"/>
      <c r="F4" s="312"/>
      <c r="G4" s="312"/>
    </row>
    <row r="5" spans="1:8" ht="9" customHeight="1">
      <c r="B5" s="313"/>
      <c r="C5" s="313"/>
      <c r="D5" s="313"/>
      <c r="E5" s="313"/>
      <c r="F5" s="313"/>
      <c r="G5" s="313"/>
    </row>
    <row r="6" spans="1:8" ht="108" customHeight="1">
      <c r="B6" s="314" t="s">
        <v>80</v>
      </c>
      <c r="C6" s="318" t="s">
        <v>671</v>
      </c>
      <c r="D6" s="318" t="s">
        <v>672</v>
      </c>
      <c r="E6" s="318" t="s">
        <v>673</v>
      </c>
      <c r="F6" s="318"/>
      <c r="G6" s="314" t="s">
        <v>184</v>
      </c>
    </row>
    <row r="7" spans="1:8" ht="108" customHeight="1">
      <c r="B7" s="314" t="s">
        <v>101</v>
      </c>
      <c r="C7" s="315">
        <v>0.42</v>
      </c>
      <c r="D7" s="315">
        <v>0.33</v>
      </c>
      <c r="E7" s="315">
        <v>0.25</v>
      </c>
      <c r="F7" s="315"/>
      <c r="G7" s="316"/>
    </row>
    <row r="8" spans="1:8" s="440" customFormat="1" ht="19.5" customHeight="1">
      <c r="A8" s="439" t="s">
        <v>77</v>
      </c>
      <c r="B8" s="849" t="s">
        <v>310</v>
      </c>
      <c r="C8" s="849"/>
      <c r="D8" s="849"/>
      <c r="E8" s="849"/>
      <c r="F8" s="849"/>
      <c r="G8" s="849"/>
      <c r="H8" s="249"/>
    </row>
    <row r="9" spans="1:8" ht="13.5" customHeight="1">
      <c r="B9" s="4"/>
      <c r="C9" s="4"/>
      <c r="D9" s="4"/>
      <c r="E9" s="4"/>
      <c r="F9" s="4"/>
    </row>
    <row r="10" spans="1:8" ht="13.5" customHeight="1">
      <c r="B10" s="4"/>
      <c r="C10" s="4"/>
      <c r="D10" s="4"/>
      <c r="E10" s="4"/>
      <c r="F10" s="4"/>
    </row>
    <row r="11" spans="1:8" ht="13.5" customHeight="1">
      <c r="B11" s="4"/>
      <c r="C11" s="4"/>
      <c r="D11" s="4"/>
      <c r="E11" s="4"/>
      <c r="F11" s="4"/>
    </row>
    <row r="12" spans="1:8" ht="13.5" customHeight="1">
      <c r="B12" s="4"/>
      <c r="C12" s="4"/>
      <c r="D12" s="4"/>
      <c r="E12" s="4"/>
      <c r="F12" s="4"/>
    </row>
    <row r="13" spans="1:8" ht="13.5" customHeight="1">
      <c r="B13" s="4"/>
      <c r="C13" s="4"/>
      <c r="D13" s="4"/>
      <c r="E13" s="4"/>
      <c r="F13" s="4"/>
    </row>
    <row r="14" spans="1:8" ht="13.5" customHeight="1">
      <c r="B14" s="4"/>
      <c r="C14" s="4"/>
      <c r="D14" s="4"/>
      <c r="E14" s="4"/>
      <c r="F14" s="4"/>
    </row>
    <row r="15" spans="1:8" ht="13.5" customHeight="1">
      <c r="B15" s="4"/>
      <c r="C15" s="4"/>
      <c r="D15" s="4"/>
      <c r="E15" s="4"/>
      <c r="F15" s="4"/>
    </row>
    <row r="16" spans="1:8" ht="13.5" customHeight="1">
      <c r="B16" s="4"/>
      <c r="C16" s="4"/>
      <c r="D16" s="4"/>
      <c r="E16" s="4"/>
      <c r="F16" s="4"/>
    </row>
    <row r="17" spans="2:16" ht="13.5" customHeight="1">
      <c r="B17" s="4"/>
      <c r="C17" s="4"/>
      <c r="D17" s="4"/>
      <c r="E17" s="4"/>
      <c r="F17" s="4"/>
    </row>
    <row r="18" spans="2:16" ht="13.5" customHeight="1">
      <c r="B18" s="4"/>
      <c r="C18" s="4"/>
      <c r="D18" s="4"/>
      <c r="E18" s="4"/>
      <c r="F18" s="4"/>
    </row>
    <row r="19" spans="2:16" ht="13.5" customHeight="1">
      <c r="B19" s="4"/>
      <c r="C19" s="4"/>
      <c r="D19" s="4"/>
      <c r="E19" s="4"/>
      <c r="F19" s="4"/>
    </row>
    <row r="20" spans="2:16" ht="13.5" customHeight="1">
      <c r="B20" s="4"/>
      <c r="C20" s="4"/>
      <c r="D20" s="4"/>
      <c r="E20" s="4"/>
      <c r="F20" s="4"/>
    </row>
    <row r="21" spans="2:16" ht="13.5" customHeight="1">
      <c r="B21" s="4"/>
      <c r="C21" s="4"/>
      <c r="D21" s="4"/>
      <c r="E21" s="4"/>
      <c r="F21" s="4"/>
    </row>
    <row r="22" spans="2:16" ht="13.5" customHeight="1">
      <c r="B22" s="4"/>
      <c r="C22" s="4"/>
      <c r="D22" s="4"/>
      <c r="E22" s="4"/>
      <c r="F22" s="4"/>
    </row>
    <row r="23" spans="2:16" ht="13.5" customHeight="1">
      <c r="B23" s="4"/>
      <c r="C23" s="4"/>
      <c r="D23" s="4"/>
      <c r="E23" s="4"/>
      <c r="F23" s="4"/>
      <c r="P23" s="548" t="e">
        <f>기술투자!#REF!</f>
        <v>#REF!</v>
      </c>
    </row>
    <row r="24" spans="2:16" ht="13.5" customHeight="1">
      <c r="B24" s="4"/>
      <c r="C24" s="4"/>
      <c r="D24" s="4"/>
      <c r="E24" s="4"/>
      <c r="F24" s="4"/>
    </row>
    <row r="25" spans="2:16" ht="13.5" customHeight="1">
      <c r="B25" s="4"/>
      <c r="C25" s="4"/>
      <c r="D25" s="4"/>
      <c r="E25" s="4"/>
      <c r="F25" s="4"/>
    </row>
    <row r="26" spans="2:16" ht="13.5" customHeight="1">
      <c r="B26" s="4"/>
      <c r="C26" s="4"/>
      <c r="D26" s="4"/>
      <c r="E26" s="4"/>
      <c r="F26" s="4"/>
    </row>
    <row r="27" spans="2:16" ht="13.5" customHeight="1">
      <c r="B27" s="4"/>
      <c r="C27" s="4"/>
      <c r="D27" s="4"/>
      <c r="E27" s="4"/>
      <c r="F27" s="4"/>
    </row>
    <row r="28" spans="2:16" ht="13.5" customHeight="1">
      <c r="B28" s="4"/>
      <c r="C28" s="4"/>
      <c r="D28" s="4"/>
      <c r="E28" s="4"/>
      <c r="F28" s="4"/>
    </row>
    <row r="29" spans="2:16" ht="13.5" customHeight="1">
      <c r="B29" s="4"/>
      <c r="C29" s="4"/>
      <c r="D29" s="4"/>
      <c r="E29" s="4"/>
      <c r="F29" s="4"/>
    </row>
    <row r="30" spans="2:16" ht="13.5" customHeight="1">
      <c r="B30" s="4"/>
      <c r="C30" s="4"/>
      <c r="D30" s="4"/>
      <c r="E30" s="4"/>
      <c r="F30" s="4"/>
    </row>
    <row r="31" spans="2:16" ht="13.5" customHeight="1">
      <c r="B31" s="4"/>
      <c r="C31" s="4"/>
      <c r="D31" s="4"/>
      <c r="E31" s="4"/>
      <c r="F31" s="4"/>
    </row>
    <row r="32" spans="2:16" ht="13.5" customHeight="1">
      <c r="B32" s="4"/>
      <c r="C32" s="4"/>
      <c r="D32" s="4"/>
      <c r="E32" s="4"/>
      <c r="F32" s="4"/>
    </row>
    <row r="33" spans="2:6" ht="13.5" customHeight="1">
      <c r="B33" s="4"/>
      <c r="C33" s="4"/>
      <c r="D33" s="4"/>
      <c r="E33" s="4"/>
      <c r="F33" s="4"/>
    </row>
    <row r="34" spans="2:6" ht="13.5" customHeight="1">
      <c r="B34" s="4"/>
      <c r="C34" s="4"/>
      <c r="D34" s="4"/>
      <c r="E34" s="4"/>
      <c r="F34" s="4"/>
    </row>
    <row r="35" spans="2:6" ht="13.5" customHeight="1">
      <c r="B35" s="4"/>
      <c r="C35" s="4"/>
      <c r="D35" s="4"/>
      <c r="E35" s="4"/>
      <c r="F35" s="4"/>
    </row>
    <row r="36" spans="2:6" ht="13.5" customHeight="1">
      <c r="B36" s="4"/>
      <c r="C36" s="4"/>
      <c r="D36" s="4"/>
      <c r="E36" s="4"/>
      <c r="F36" s="4"/>
    </row>
    <row r="37" spans="2:6" ht="13.5" customHeight="1">
      <c r="B37" s="4"/>
      <c r="C37" s="4"/>
      <c r="D37" s="4"/>
      <c r="E37" s="4"/>
      <c r="F37" s="4"/>
    </row>
    <row r="38" spans="2:6" ht="13.5" customHeight="1">
      <c r="B38" s="4"/>
      <c r="C38" s="4"/>
      <c r="D38" s="4"/>
      <c r="E38" s="4"/>
      <c r="F38" s="4"/>
    </row>
    <row r="39" spans="2:6" ht="13.5" customHeight="1">
      <c r="B39" s="4"/>
      <c r="C39" s="4"/>
      <c r="D39" s="4"/>
      <c r="E39" s="4"/>
      <c r="F39" s="4"/>
    </row>
    <row r="40" spans="2:6" ht="13.5" customHeight="1">
      <c r="B40" s="4"/>
      <c r="C40" s="4"/>
      <c r="D40" s="4"/>
      <c r="E40" s="4"/>
      <c r="F40" s="4"/>
    </row>
    <row r="41" spans="2:6" ht="13.5" customHeight="1">
      <c r="B41" s="4"/>
      <c r="C41" s="4"/>
      <c r="D41" s="4"/>
      <c r="E41" s="4"/>
      <c r="F41" s="4"/>
    </row>
    <row r="42" spans="2:6" ht="13.5" customHeight="1">
      <c r="B42" s="4"/>
      <c r="C42" s="4"/>
      <c r="D42" s="4"/>
      <c r="E42" s="4"/>
      <c r="F42" s="4"/>
    </row>
    <row r="43" spans="2:6" ht="13.5" customHeight="1"/>
  </sheetData>
  <mergeCells count="2">
    <mergeCell ref="B8:G8"/>
    <mergeCell ref="B2:G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  <pageSetUpPr fitToPage="1"/>
  </sheetPr>
  <dimension ref="A1:P21"/>
  <sheetViews>
    <sheetView view="pageBreakPreview" topLeftCell="B1" zoomScale="85" workbookViewId="0">
      <selection activeCell="I17" sqref="I17"/>
    </sheetView>
  </sheetViews>
  <sheetFormatPr defaultRowHeight="15.95" customHeight="1"/>
  <cols>
    <col min="1" max="1" width="2.109375" style="25" customWidth="1"/>
    <col min="2" max="2" width="26.6640625" style="25" customWidth="1"/>
    <col min="3" max="3" width="28.21875" style="25" customWidth="1"/>
    <col min="4" max="4" width="17.6640625" style="25" customWidth="1"/>
    <col min="5" max="5" width="16.44140625" style="85" customWidth="1"/>
    <col min="6" max="7" width="13.77734375" style="86" customWidth="1"/>
    <col min="8" max="8" width="11.33203125" style="25" customWidth="1"/>
    <col min="9" max="9" width="19" style="2" customWidth="1"/>
    <col min="10" max="10" width="10.5546875" style="2" customWidth="1"/>
    <col min="11" max="11" width="7.44140625" style="2" bestFit="1" customWidth="1"/>
    <col min="12" max="12" width="11.88671875" style="2" customWidth="1"/>
    <col min="13" max="13" width="11.109375" style="2" customWidth="1"/>
    <col min="14" max="16384" width="8.88671875" style="2"/>
  </cols>
  <sheetData>
    <row r="1" spans="1:12" s="9" customFormat="1" ht="32.25" customHeight="1">
      <c r="A1" s="80" t="s">
        <v>204</v>
      </c>
      <c r="B1" s="79"/>
      <c r="C1" s="79"/>
      <c r="D1" s="79"/>
      <c r="E1" s="81"/>
      <c r="F1" s="82"/>
      <c r="G1" s="82"/>
      <c r="H1" s="79"/>
    </row>
    <row r="2" spans="1:12" s="6" customFormat="1" ht="16.5" customHeight="1" thickBot="1">
      <c r="A2" s="83"/>
      <c r="B2" s="73"/>
      <c r="C2" s="73"/>
      <c r="D2" s="73"/>
      <c r="E2" s="84"/>
      <c r="F2" s="74"/>
      <c r="G2" s="74"/>
      <c r="H2" s="73"/>
    </row>
    <row r="3" spans="1:12" s="4" customFormat="1" ht="43.5" customHeight="1">
      <c r="A3" s="26"/>
      <c r="B3" s="383" t="s">
        <v>183</v>
      </c>
      <c r="C3" s="384" t="s">
        <v>80</v>
      </c>
      <c r="D3" s="384" t="s">
        <v>98</v>
      </c>
      <c r="E3" s="385" t="s">
        <v>101</v>
      </c>
      <c r="F3" s="1029" t="s">
        <v>111</v>
      </c>
      <c r="G3" s="1030"/>
      <c r="H3" s="506" t="s">
        <v>81</v>
      </c>
    </row>
    <row r="4" spans="1:12" s="4" customFormat="1" ht="43.5" customHeight="1">
      <c r="A4" s="26"/>
      <c r="B4" s="1035" t="s">
        <v>282</v>
      </c>
      <c r="C4" s="285" t="str">
        <f>참여업체!C6</f>
        <v>oo엔지니어링</v>
      </c>
      <c r="D4" s="290">
        <f>'유사(000)'!M10</f>
        <v>2.57</v>
      </c>
      <c r="E4" s="289">
        <f>참여업체!C7</f>
        <v>0.42</v>
      </c>
      <c r="F4" s="1031">
        <f>(D4*E4)+(D5+E5)+(D6*E6)</f>
        <v>3.5591499999999998</v>
      </c>
      <c r="G4" s="1032"/>
      <c r="H4" s="1038">
        <f>IF(F4&gt;=배점기준!$E$73,배점기준!$E$74,IF(F4&gt;=배점기준!$F$73,배점기준!$F$74,IF(F4&gt;=배점기준!$G$73,배점기준!$G$74,배점기준!$H$74)))</f>
        <v>6</v>
      </c>
    </row>
    <row r="5" spans="1:12" s="4" customFormat="1" ht="43.5" customHeight="1">
      <c r="A5" s="26"/>
      <c r="B5" s="1036"/>
      <c r="C5" s="714" t="str">
        <f>참여업체!D6</f>
        <v>＊＊엔지니어링</v>
      </c>
      <c r="D5" s="715">
        <f>'유사(0001)'!M8</f>
        <v>1.45</v>
      </c>
      <c r="E5" s="716">
        <f>참여업체!D7</f>
        <v>0.33</v>
      </c>
      <c r="F5" s="1033"/>
      <c r="G5" s="1034"/>
      <c r="H5" s="1039"/>
    </row>
    <row r="6" spans="1:12" s="4" customFormat="1" ht="43.5" customHeight="1">
      <c r="A6" s="26"/>
      <c r="B6" s="1037"/>
      <c r="C6" s="287" t="str">
        <f>참여업체!E6</f>
        <v>☆☆엔지니어링</v>
      </c>
      <c r="D6" s="290">
        <f>'유사(0002)'!M10</f>
        <v>2.7989999999999999</v>
      </c>
      <c r="E6" s="289">
        <f>참여업체!E7</f>
        <v>0.25</v>
      </c>
      <c r="F6" s="1033"/>
      <c r="G6" s="1034"/>
      <c r="H6" s="1039"/>
    </row>
    <row r="7" spans="1:12" ht="43.5" customHeight="1">
      <c r="B7" s="1035" t="s">
        <v>283</v>
      </c>
      <c r="C7" s="285" t="str">
        <f>C4</f>
        <v>oo엔지니어링</v>
      </c>
      <c r="D7" s="629">
        <f>'유사(000)'!K10</f>
        <v>9110.887999999999</v>
      </c>
      <c r="E7" s="289">
        <f>참여업체!C7</f>
        <v>0.42</v>
      </c>
      <c r="F7" s="1041">
        <f>(D7*E7)+(D8*E8)+(D9*E9)</f>
        <v>7074.4034599999995</v>
      </c>
      <c r="G7" s="1044">
        <f>F7/(배점기준!G6/1000)</f>
        <v>4.6981684961737411</v>
      </c>
      <c r="H7" s="1038">
        <f>(IF(G7&gt;=배점기준!D77,배점기준!D78,IF(G7&gt;=배점기준!E77,배점기준!E78,IF(G7&gt;=배점기준!F77,배점기준!F78,IF(G7&gt;=배점기준!G77,배점기준!G78,IF(G7&gt;=배점기준!H77,배점기준!H78,배점기준!I78))))))</f>
        <v>6</v>
      </c>
      <c r="J7" s="522"/>
    </row>
    <row r="8" spans="1:12" ht="43.5" customHeight="1">
      <c r="B8" s="1036"/>
      <c r="C8" s="714" t="str">
        <f>C5</f>
        <v>＊＊엔지니어링</v>
      </c>
      <c r="D8" s="717">
        <f>'유사(0001)'!K8</f>
        <v>7416.0999999999985</v>
      </c>
      <c r="E8" s="745">
        <f>참여업체!D7</f>
        <v>0.33</v>
      </c>
      <c r="F8" s="1042"/>
      <c r="G8" s="1045"/>
      <c r="H8" s="1039"/>
      <c r="J8" s="522"/>
    </row>
    <row r="9" spans="1:12" ht="43.5" customHeight="1" thickBot="1">
      <c r="B9" s="1037"/>
      <c r="C9" s="605" t="str">
        <f>C6</f>
        <v>☆☆엔지니어링</v>
      </c>
      <c r="D9" s="718">
        <f>'유사(0002)'!K10</f>
        <v>3202.07</v>
      </c>
      <c r="E9" s="787">
        <f>참여업체!E7</f>
        <v>0.25</v>
      </c>
      <c r="F9" s="1043"/>
      <c r="G9" s="1046"/>
      <c r="H9" s="1040"/>
      <c r="J9" s="522"/>
      <c r="L9" s="522"/>
    </row>
    <row r="10" spans="1:12" ht="42.75" customHeight="1">
      <c r="B10" s="1047" t="s">
        <v>413</v>
      </c>
      <c r="C10" s="565" t="s">
        <v>346</v>
      </c>
      <c r="D10" s="566" t="s">
        <v>347</v>
      </c>
      <c r="E10" s="566" t="s">
        <v>415</v>
      </c>
      <c r="F10" s="567" t="s">
        <v>331</v>
      </c>
      <c r="G10" s="25"/>
      <c r="H10" s="10"/>
      <c r="I10" s="10"/>
      <c r="J10" s="10"/>
      <c r="K10" s="10"/>
    </row>
    <row r="11" spans="1:12" ht="42.75" customHeight="1" thickBot="1">
      <c r="B11" s="1048"/>
      <c r="C11" s="488"/>
      <c r="D11" s="489"/>
      <c r="E11" s="489"/>
      <c r="F11" s="487">
        <f>C11*D11*E11</f>
        <v>0</v>
      </c>
      <c r="G11" s="25"/>
      <c r="H11" s="10"/>
      <c r="I11" s="10"/>
      <c r="J11" s="10"/>
      <c r="K11" s="10"/>
    </row>
    <row r="12" spans="1:12" ht="15.95" customHeight="1">
      <c r="B12" s="87"/>
      <c r="C12" s="87"/>
      <c r="D12" s="87"/>
      <c r="E12" s="88"/>
      <c r="F12" s="89"/>
      <c r="G12" s="89"/>
      <c r="I12" s="10"/>
      <c r="J12" s="10"/>
      <c r="K12" s="10"/>
      <c r="L12" s="10"/>
    </row>
    <row r="13" spans="1:12" ht="15.95" customHeight="1">
      <c r="B13" s="87"/>
      <c r="D13" s="87"/>
      <c r="E13" s="88"/>
      <c r="F13" s="89"/>
      <c r="G13" s="89"/>
      <c r="I13" s="10"/>
      <c r="J13" s="10"/>
      <c r="K13" s="10"/>
      <c r="L13" s="10"/>
    </row>
    <row r="14" spans="1:12" ht="15.95" customHeight="1">
      <c r="B14" s="87"/>
      <c r="D14" s="90"/>
      <c r="E14" s="91"/>
      <c r="F14" s="92"/>
      <c r="G14" s="92"/>
      <c r="I14" s="10"/>
      <c r="J14" s="11"/>
      <c r="K14" s="11"/>
      <c r="L14" s="11"/>
    </row>
    <row r="15" spans="1:12" ht="15.95" customHeight="1">
      <c r="B15" s="87"/>
      <c r="D15" s="90"/>
      <c r="E15" s="91"/>
      <c r="F15" s="92"/>
      <c r="G15" s="92"/>
      <c r="I15" s="10"/>
      <c r="J15" s="11"/>
      <c r="K15" s="11"/>
      <c r="L15" s="11"/>
    </row>
    <row r="16" spans="1:12" ht="15.95" customHeight="1">
      <c r="B16" s="87"/>
      <c r="D16" s="90"/>
      <c r="E16" s="91"/>
      <c r="F16" s="92"/>
      <c r="G16" s="92"/>
      <c r="I16" s="10"/>
      <c r="J16" s="11"/>
      <c r="K16" s="11"/>
      <c r="L16" s="11"/>
    </row>
    <row r="17" spans="2:16" ht="15.95" customHeight="1">
      <c r="B17" s="87"/>
      <c r="C17" s="87"/>
      <c r="D17" s="87"/>
      <c r="E17" s="88"/>
      <c r="F17" s="89"/>
      <c r="G17" s="89"/>
      <c r="I17" s="10"/>
      <c r="J17" s="10"/>
      <c r="K17" s="10"/>
      <c r="L17" s="10"/>
    </row>
    <row r="18" spans="2:16" ht="15.95" customHeight="1">
      <c r="B18" s="87"/>
      <c r="C18" s="87"/>
      <c r="D18" s="87"/>
      <c r="E18" s="88"/>
      <c r="F18" s="89"/>
      <c r="G18" s="89"/>
      <c r="I18" s="10"/>
      <c r="J18" s="10"/>
      <c r="K18" s="10"/>
      <c r="L18" s="10"/>
    </row>
    <row r="19" spans="2:16" ht="15.95" customHeight="1">
      <c r="B19" s="87"/>
      <c r="C19" s="87"/>
      <c r="D19" s="87"/>
      <c r="E19" s="88"/>
      <c r="F19" s="89"/>
      <c r="G19" s="89"/>
      <c r="I19" s="10"/>
      <c r="J19" s="10"/>
      <c r="K19" s="10"/>
      <c r="L19" s="10"/>
    </row>
    <row r="20" spans="2:16" ht="15.95" customHeight="1">
      <c r="B20" s="87"/>
      <c r="C20" s="87"/>
      <c r="D20" s="87"/>
      <c r="E20" s="88"/>
      <c r="F20" s="89"/>
      <c r="G20" s="89"/>
      <c r="I20" s="10"/>
      <c r="J20" s="10"/>
      <c r="K20" s="10"/>
      <c r="L20" s="10"/>
    </row>
    <row r="21" spans="2:16" ht="15.95" customHeight="1">
      <c r="P21" s="548" t="e">
        <f>기술투자!#REF!</f>
        <v>#REF!</v>
      </c>
    </row>
  </sheetData>
  <protectedRanges>
    <protectedRange password="CF2F" sqref="D10" name="범위2"/>
  </protectedRanges>
  <mergeCells count="9">
    <mergeCell ref="B10:B11"/>
    <mergeCell ref="F3:G3"/>
    <mergeCell ref="F4:G6"/>
    <mergeCell ref="B4:B6"/>
    <mergeCell ref="B7:B9"/>
    <mergeCell ref="H7:H9"/>
    <mergeCell ref="F7:F9"/>
    <mergeCell ref="G7:G9"/>
    <mergeCell ref="H4:H6"/>
  </mergeCells>
  <phoneticPr fontId="2" type="noConversion"/>
  <pageMargins left="0.75" right="0.75" top="1.1299999999999999" bottom="1" header="0.5" footer="0.5"/>
  <pageSetup paperSize="9" scale="86" orientation="landscape" horizontalDpi="4294967293" r:id="rId1"/>
  <headerFooter alignWithMargins="0"/>
  <rowBreaks count="1" manualBreakCount="1">
    <brk id="13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2"/>
  </sheetPr>
  <dimension ref="A1:R20"/>
  <sheetViews>
    <sheetView view="pageBreakPreview" topLeftCell="A7" zoomScale="85" zoomScaleNormal="115" zoomScaleSheetLayoutView="100" workbookViewId="0">
      <selection activeCell="D5" sqref="D5"/>
    </sheetView>
  </sheetViews>
  <sheetFormatPr defaultRowHeight="12" customHeight="1"/>
  <cols>
    <col min="1" max="1" width="5" style="127" customWidth="1"/>
    <col min="2" max="2" width="26.6640625" style="145" customWidth="1"/>
    <col min="3" max="3" width="24.21875" style="145" customWidth="1"/>
    <col min="4" max="4" width="15.33203125" style="145" customWidth="1"/>
    <col min="5" max="6" width="10.77734375" style="145" customWidth="1"/>
    <col min="7" max="7" width="8.6640625" style="141" customWidth="1"/>
    <col min="8" max="8" width="11.33203125" style="135" customWidth="1"/>
    <col min="9" max="9" width="7.33203125" style="135" customWidth="1"/>
    <col min="10" max="10" width="8.6640625" style="135" customWidth="1"/>
    <col min="11" max="11" width="10.77734375" style="135" customWidth="1"/>
    <col min="12" max="12" width="7.77734375" style="135" customWidth="1"/>
    <col min="13" max="13" width="7.77734375" style="130" customWidth="1"/>
    <col min="14" max="14" width="6.109375" style="127" customWidth="1"/>
    <col min="15" max="15" width="1.44140625" style="127" customWidth="1"/>
    <col min="16" max="16" width="0" style="127" hidden="1" customWidth="1"/>
    <col min="17" max="16384" width="8.88671875" style="127"/>
  </cols>
  <sheetData>
    <row r="1" spans="1:18" s="205" customFormat="1" ht="30" customHeight="1" thickBot="1">
      <c r="A1" s="1049" t="s">
        <v>631</v>
      </c>
      <c r="B1" s="1049"/>
      <c r="C1" s="201" t="str">
        <f>참여업체!C6</f>
        <v>oo엔지니어링</v>
      </c>
      <c r="D1" s="202"/>
      <c r="E1" s="202"/>
      <c r="F1" s="202"/>
      <c r="G1" s="203"/>
      <c r="H1" s="204"/>
      <c r="I1" s="204"/>
      <c r="K1" s="204"/>
      <c r="L1" s="204"/>
      <c r="M1" s="206"/>
    </row>
    <row r="2" spans="1:18" s="181" customFormat="1" ht="28.5" customHeight="1">
      <c r="A2" s="992" t="s">
        <v>222</v>
      </c>
      <c r="B2" s="994" t="s">
        <v>51</v>
      </c>
      <c r="C2" s="1005" t="s">
        <v>52</v>
      </c>
      <c r="D2" s="1005" t="s">
        <v>53</v>
      </c>
      <c r="E2" s="1057" t="s">
        <v>54</v>
      </c>
      <c r="F2" s="1058"/>
      <c r="G2" s="1003" t="s">
        <v>271</v>
      </c>
      <c r="H2" s="1053" t="s">
        <v>57</v>
      </c>
      <c r="I2" s="1059" t="s">
        <v>546</v>
      </c>
      <c r="J2" s="1001" t="s">
        <v>76</v>
      </c>
      <c r="K2" s="1001" t="s">
        <v>66</v>
      </c>
      <c r="L2" s="1001" t="s">
        <v>544</v>
      </c>
      <c r="M2" s="1001" t="s">
        <v>545</v>
      </c>
      <c r="N2" s="1055" t="s">
        <v>223</v>
      </c>
    </row>
    <row r="3" spans="1:18" s="181" customFormat="1" ht="30.75" customHeight="1">
      <c r="A3" s="993"/>
      <c r="B3" s="995"/>
      <c r="C3" s="1006"/>
      <c r="D3" s="1006"/>
      <c r="E3" s="182" t="s">
        <v>55</v>
      </c>
      <c r="F3" s="182" t="s">
        <v>56</v>
      </c>
      <c r="G3" s="1004"/>
      <c r="H3" s="1054"/>
      <c r="I3" s="1060"/>
      <c r="J3" s="1002"/>
      <c r="K3" s="1002"/>
      <c r="L3" s="1002"/>
      <c r="M3" s="1002"/>
      <c r="N3" s="1056"/>
      <c r="P3" s="181" t="s">
        <v>501</v>
      </c>
    </row>
    <row r="4" spans="1:18" s="185" customFormat="1" ht="258.75" customHeight="1">
      <c r="A4" s="647">
        <v>1</v>
      </c>
      <c r="B4" s="648" t="s">
        <v>465</v>
      </c>
      <c r="C4" s="648" t="s">
        <v>19</v>
      </c>
      <c r="D4" s="649" t="s">
        <v>464</v>
      </c>
      <c r="E4" s="634">
        <v>37972</v>
      </c>
      <c r="F4" s="634">
        <v>41264</v>
      </c>
      <c r="G4" s="633">
        <v>1938</v>
      </c>
      <c r="H4" s="650">
        <f>1938-68.8-554.9-16-584.3-31.4-120.2</f>
        <v>562.4000000000002</v>
      </c>
      <c r="I4" s="632">
        <v>0.5</v>
      </c>
      <c r="J4" s="651">
        <f>IF(G4-H4&lt;230,0,G4-H4)</f>
        <v>1375.6</v>
      </c>
      <c r="K4" s="651">
        <f>J4*I4</f>
        <v>687.8</v>
      </c>
      <c r="L4" s="652">
        <f>(IF(J4&lt;배점기준!$E$75*100,0,IF(J4&lt;배점기준!$F$75*100,배점기준!$E$76,IF(J4&lt;배점기준!$G$75*100,배점기준!$F$76,배점기준!$G$76))))</f>
        <v>0.7</v>
      </c>
      <c r="M4" s="653">
        <f>I4*L4</f>
        <v>0.35</v>
      </c>
      <c r="N4" s="595"/>
      <c r="P4" s="596"/>
      <c r="Q4" s="556"/>
    </row>
    <row r="5" spans="1:18" s="185" customFormat="1" ht="256.5" customHeight="1">
      <c r="A5" s="647">
        <f t="shared" ref="A5:A9" si="0">A4+1</f>
        <v>2</v>
      </c>
      <c r="B5" s="648" t="s">
        <v>20</v>
      </c>
      <c r="C5" s="648" t="s">
        <v>425</v>
      </c>
      <c r="D5" s="649" t="s">
        <v>463</v>
      </c>
      <c r="E5" s="634">
        <v>38114</v>
      </c>
      <c r="F5" s="634">
        <v>40543</v>
      </c>
      <c r="G5" s="633">
        <v>2168</v>
      </c>
      <c r="H5" s="650">
        <f>2168-158.4-38.3-886.8</f>
        <v>1084.5</v>
      </c>
      <c r="I5" s="632">
        <v>0.4</v>
      </c>
      <c r="J5" s="651">
        <f t="shared" ref="J5:J9" si="1">IF(G5-H5&lt;230,0,G5-H5)</f>
        <v>1083.5</v>
      </c>
      <c r="K5" s="651">
        <f t="shared" ref="K5:K9" si="2">J5*I5</f>
        <v>433.40000000000003</v>
      </c>
      <c r="L5" s="652">
        <f>(IF(J5&lt;배점기준!$E$75*100,0,IF(J5&lt;배점기준!$F$75*100,배점기준!$E$76,IF(J5&lt;배점기준!$G$75*100,배점기준!$F$76,배점기준!$G$76))))</f>
        <v>0.7</v>
      </c>
      <c r="M5" s="653">
        <f t="shared" ref="M5:M9" si="3">I5*L5</f>
        <v>0.27999999999999997</v>
      </c>
      <c r="N5" s="595"/>
      <c r="P5" s="596"/>
      <c r="Q5" s="556"/>
    </row>
    <row r="6" spans="1:18" s="185" customFormat="1" ht="300" customHeight="1">
      <c r="A6" s="647">
        <f t="shared" si="0"/>
        <v>3</v>
      </c>
      <c r="B6" s="648" t="s">
        <v>491</v>
      </c>
      <c r="C6" s="648" t="s">
        <v>426</v>
      </c>
      <c r="D6" s="649" t="s">
        <v>492</v>
      </c>
      <c r="E6" s="634">
        <v>38168</v>
      </c>
      <c r="F6" s="634">
        <v>41639</v>
      </c>
      <c r="G6" s="633">
        <v>2216</v>
      </c>
      <c r="H6" s="650">
        <f>2216-96.9-439.6-607.5-65.5-163.5-37.4-159.3-58.9</f>
        <v>587.4</v>
      </c>
      <c r="I6" s="632">
        <v>0.48</v>
      </c>
      <c r="J6" s="651">
        <f t="shared" si="1"/>
        <v>1628.6</v>
      </c>
      <c r="K6" s="651">
        <f t="shared" si="2"/>
        <v>781.72799999999995</v>
      </c>
      <c r="L6" s="652">
        <f>(IF(J6&lt;배점기준!$E$75*100,0,IF(J6&lt;배점기준!$F$75*100,배점기준!$E$76,IF(J6&lt;배점기준!$G$75*100,배점기준!$F$76,배점기준!$G$76))))</f>
        <v>1</v>
      </c>
      <c r="M6" s="653">
        <f t="shared" si="3"/>
        <v>0.48</v>
      </c>
      <c r="N6" s="595"/>
      <c r="P6" s="596"/>
      <c r="Q6" s="556"/>
    </row>
    <row r="7" spans="1:18" s="185" customFormat="1" ht="219.75" customHeight="1">
      <c r="A7" s="647">
        <f t="shared" si="0"/>
        <v>4</v>
      </c>
      <c r="B7" s="648" t="s">
        <v>427</v>
      </c>
      <c r="C7" s="648" t="s">
        <v>428</v>
      </c>
      <c r="D7" s="649" t="s">
        <v>630</v>
      </c>
      <c r="E7" s="634">
        <v>38310</v>
      </c>
      <c r="F7" s="634">
        <v>41661</v>
      </c>
      <c r="G7" s="633">
        <v>11293</v>
      </c>
      <c r="H7" s="650">
        <f>11293-1331.9-6192.9-119.7-198.6</f>
        <v>3449.900000000001</v>
      </c>
      <c r="I7" s="632">
        <v>0.4</v>
      </c>
      <c r="J7" s="651">
        <f t="shared" si="1"/>
        <v>7843.0999999999985</v>
      </c>
      <c r="K7" s="651">
        <f t="shared" si="2"/>
        <v>3137.24</v>
      </c>
      <c r="L7" s="652">
        <f>(IF(J7&lt;배점기준!$E$75*100,0,IF(J7&lt;배점기준!$F$75*100,배점기준!$E$76,IF(J7&lt;배점기준!$G$75*100,배점기준!$F$76,배점기준!$G$76))))</f>
        <v>1.3</v>
      </c>
      <c r="M7" s="653">
        <f t="shared" si="3"/>
        <v>0.52</v>
      </c>
      <c r="N7" s="595"/>
      <c r="P7" s="596"/>
      <c r="Q7" s="556"/>
    </row>
    <row r="8" spans="1:18" s="185" customFormat="1" ht="179.25" customHeight="1">
      <c r="A8" s="647">
        <f t="shared" si="0"/>
        <v>5</v>
      </c>
      <c r="B8" s="648" t="s">
        <v>466</v>
      </c>
      <c r="C8" s="648" t="s">
        <v>429</v>
      </c>
      <c r="D8" s="649" t="s">
        <v>467</v>
      </c>
      <c r="E8" s="634">
        <v>38425</v>
      </c>
      <c r="F8" s="634">
        <v>40899</v>
      </c>
      <c r="G8" s="633">
        <v>9891</v>
      </c>
      <c r="H8" s="650">
        <f>9891-582.8-345-155.6-7329.8-190.7</f>
        <v>1287.1000000000001</v>
      </c>
      <c r="I8" s="632">
        <v>0.4</v>
      </c>
      <c r="J8" s="651">
        <f t="shared" si="1"/>
        <v>8603.9</v>
      </c>
      <c r="K8" s="651">
        <f t="shared" si="2"/>
        <v>3441.56</v>
      </c>
      <c r="L8" s="652">
        <f>(IF(J8&lt;배점기준!$E$75*100,0,IF(J8&lt;배점기준!$F$75*100,배점기준!$E$76,IF(J8&lt;배점기준!$G$75*100,배점기준!$F$76,배점기준!$G$76))))</f>
        <v>1.3</v>
      </c>
      <c r="M8" s="653">
        <f t="shared" si="3"/>
        <v>0.52</v>
      </c>
      <c r="N8" s="595"/>
      <c r="P8" s="596"/>
      <c r="Q8" s="556"/>
    </row>
    <row r="9" spans="1:18" s="185" customFormat="1" ht="117.75" customHeight="1" thickBot="1">
      <c r="A9" s="647">
        <f t="shared" si="0"/>
        <v>6</v>
      </c>
      <c r="B9" s="648" t="s">
        <v>430</v>
      </c>
      <c r="C9" s="648" t="s">
        <v>431</v>
      </c>
      <c r="D9" s="649" t="s">
        <v>630</v>
      </c>
      <c r="E9" s="634">
        <v>38448</v>
      </c>
      <c r="F9" s="634">
        <v>41639</v>
      </c>
      <c r="G9" s="633">
        <v>1690</v>
      </c>
      <c r="H9" s="650">
        <v>641.4</v>
      </c>
      <c r="I9" s="632">
        <v>0.6</v>
      </c>
      <c r="J9" s="651">
        <f t="shared" si="1"/>
        <v>1048.5999999999999</v>
      </c>
      <c r="K9" s="651">
        <f t="shared" si="2"/>
        <v>629.16</v>
      </c>
      <c r="L9" s="652">
        <f>(IF(J9&lt;배점기준!$E$75*100,0,IF(J9&lt;배점기준!$F$75*100,배점기준!$E$76,IF(J9&lt;배점기준!$G$75*100,배점기준!$F$76,배점기준!$G$76))))</f>
        <v>0.7</v>
      </c>
      <c r="M9" s="653">
        <f t="shared" si="3"/>
        <v>0.42</v>
      </c>
      <c r="N9" s="595"/>
      <c r="P9" s="596"/>
      <c r="Q9" s="556"/>
    </row>
    <row r="10" spans="1:18" s="185" customFormat="1" ht="35.1" customHeight="1" thickBot="1">
      <c r="A10" s="1050" t="s">
        <v>67</v>
      </c>
      <c r="B10" s="1051"/>
      <c r="C10" s="1051"/>
      <c r="D10" s="1051"/>
      <c r="E10" s="1051"/>
      <c r="F10" s="1051"/>
      <c r="G10" s="1051"/>
      <c r="H10" s="1051"/>
      <c r="I10" s="1052"/>
      <c r="J10" s="528"/>
      <c r="K10" s="529">
        <f>SUM(K4:K9)</f>
        <v>9110.887999999999</v>
      </c>
      <c r="L10" s="654"/>
      <c r="M10" s="531">
        <f>SUM(M4:M9)</f>
        <v>2.57</v>
      </c>
      <c r="N10" s="532"/>
    </row>
    <row r="11" spans="1:18" ht="15.75" customHeight="1">
      <c r="A11" s="155"/>
      <c r="B11" s="166"/>
      <c r="C11" s="166"/>
      <c r="D11" s="166"/>
      <c r="E11" s="166"/>
      <c r="F11" s="166"/>
      <c r="G11" s="167"/>
      <c r="H11" s="156"/>
      <c r="I11" s="156"/>
      <c r="J11" s="168"/>
      <c r="K11" s="168"/>
      <c r="L11" s="169"/>
      <c r="M11" s="170"/>
    </row>
    <row r="12" spans="1:18" s="195" customFormat="1" ht="15" customHeight="1">
      <c r="A12" s="158" t="s">
        <v>316</v>
      </c>
      <c r="B12" s="159" t="s">
        <v>317</v>
      </c>
      <c r="C12" s="159"/>
      <c r="D12" s="159"/>
      <c r="E12" s="159"/>
      <c r="F12" s="159"/>
      <c r="G12" s="207"/>
      <c r="H12" s="196"/>
      <c r="I12" s="196"/>
      <c r="J12" s="196"/>
      <c r="K12" s="196"/>
      <c r="L12" s="208"/>
      <c r="M12" s="198"/>
      <c r="N12" s="198"/>
      <c r="P12" s="160"/>
      <c r="Q12" s="160"/>
    </row>
    <row r="13" spans="1:18" s="195" customFormat="1" ht="20.25" customHeight="1">
      <c r="A13" s="247" t="s">
        <v>59</v>
      </c>
      <c r="B13" s="159" t="s">
        <v>62</v>
      </c>
      <c r="C13" s="438"/>
      <c r="D13" s="438"/>
      <c r="E13" s="438"/>
      <c r="F13" s="438"/>
      <c r="G13" s="209"/>
      <c r="H13" s="197"/>
      <c r="I13" s="197"/>
      <c r="J13" s="197"/>
      <c r="K13" s="623"/>
      <c r="L13" s="197"/>
      <c r="M13" s="198"/>
      <c r="R13" s="160"/>
    </row>
    <row r="14" spans="1:18" s="160" customFormat="1" ht="55.5" customHeight="1">
      <c r="A14" s="510" t="s">
        <v>403</v>
      </c>
      <c r="B14" s="991" t="s">
        <v>399</v>
      </c>
      <c r="C14" s="991"/>
      <c r="D14" s="991"/>
      <c r="E14" s="991"/>
      <c r="F14" s="991"/>
      <c r="G14" s="991"/>
      <c r="H14" s="991"/>
      <c r="I14" s="991"/>
      <c r="J14" s="991"/>
      <c r="K14" s="991"/>
      <c r="L14" s="161"/>
      <c r="M14" s="161"/>
    </row>
    <row r="15" spans="1:18" s="160" customFormat="1" ht="18.75" customHeight="1">
      <c r="A15" s="510" t="s">
        <v>404</v>
      </c>
      <c r="B15" s="159" t="s">
        <v>398</v>
      </c>
      <c r="C15" s="159"/>
      <c r="D15" s="159"/>
      <c r="E15" s="159"/>
      <c r="F15" s="159"/>
      <c r="G15" s="159"/>
      <c r="I15" s="322"/>
      <c r="J15" s="161"/>
      <c r="K15" s="161"/>
      <c r="L15" s="161"/>
      <c r="M15" s="161"/>
    </row>
    <row r="16" spans="1:18" s="160" customFormat="1" ht="18.75" customHeight="1">
      <c r="A16" s="247" t="s">
        <v>400</v>
      </c>
      <c r="B16" s="159" t="s">
        <v>63</v>
      </c>
      <c r="C16" s="159"/>
      <c r="D16" s="159"/>
      <c r="E16" s="159"/>
      <c r="F16" s="159"/>
      <c r="G16" s="159"/>
      <c r="I16" s="161"/>
      <c r="J16" s="161"/>
      <c r="K16" s="161"/>
      <c r="L16" s="161"/>
      <c r="M16" s="161"/>
      <c r="N16" s="161"/>
      <c r="O16" s="161"/>
    </row>
    <row r="17" spans="1:13" s="195" customFormat="1" ht="12" customHeight="1">
      <c r="A17" s="247" t="s">
        <v>401</v>
      </c>
      <c r="B17" s="159" t="s">
        <v>64</v>
      </c>
      <c r="C17" s="159"/>
      <c r="D17" s="159"/>
      <c r="E17" s="159"/>
      <c r="F17" s="159"/>
      <c r="G17" s="209"/>
      <c r="H17" s="197"/>
      <c r="I17" s="197"/>
      <c r="J17" s="197"/>
      <c r="K17" s="197"/>
      <c r="L17" s="197"/>
      <c r="M17" s="198"/>
    </row>
    <row r="18" spans="1:13" s="195" customFormat="1" ht="15" customHeight="1">
      <c r="A18" s="247" t="s">
        <v>402</v>
      </c>
      <c r="B18" s="165" t="s">
        <v>65</v>
      </c>
      <c r="C18" s="165"/>
      <c r="D18" s="165"/>
      <c r="E18" s="165"/>
      <c r="F18" s="165"/>
      <c r="G18" s="209"/>
      <c r="H18" s="197"/>
      <c r="I18" s="197"/>
      <c r="J18" s="197"/>
      <c r="K18" s="197"/>
      <c r="L18" s="197"/>
      <c r="M18" s="198"/>
    </row>
    <row r="19" spans="1:13" s="195" customFormat="1" ht="15" customHeight="1">
      <c r="B19" s="145"/>
      <c r="C19" s="196"/>
      <c r="D19" s="196"/>
      <c r="E19" s="196"/>
      <c r="F19" s="196"/>
      <c r="G19" s="209"/>
      <c r="H19" s="197"/>
      <c r="I19" s="197"/>
      <c r="J19" s="197"/>
      <c r="K19" s="197"/>
      <c r="L19" s="197"/>
      <c r="M19" s="198"/>
    </row>
    <row r="20" spans="1:13" ht="15" customHeight="1"/>
  </sheetData>
  <mergeCells count="16">
    <mergeCell ref="B14:K14"/>
    <mergeCell ref="N2:N3"/>
    <mergeCell ref="L2:L3"/>
    <mergeCell ref="M2:M3"/>
    <mergeCell ref="E2:F2"/>
    <mergeCell ref="G2:G3"/>
    <mergeCell ref="J2:J3"/>
    <mergeCell ref="K2:K3"/>
    <mergeCell ref="I2:I3"/>
    <mergeCell ref="A1:B1"/>
    <mergeCell ref="A2:A3"/>
    <mergeCell ref="B2:B3"/>
    <mergeCell ref="A10:I10"/>
    <mergeCell ref="D2:D3"/>
    <mergeCell ref="C2:C3"/>
    <mergeCell ref="H2:H3"/>
  </mergeCells>
  <phoneticPr fontId="23" type="noConversion"/>
  <pageMargins left="0.74803149606299213" right="0.74803149606299213" top="0.97" bottom="0.75" header="0.51181102362204722" footer="0.51181102362204722"/>
  <pageSetup paperSize="9" scale="70" fitToHeight="3" orientation="landscape" r:id="rId1"/>
  <headerFooter alignWithMargins="0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16"/>
  <sheetViews>
    <sheetView view="pageBreakPreview" zoomScale="85" zoomScaleNormal="115" zoomScaleSheetLayoutView="85" workbookViewId="0">
      <selection activeCell="A8" sqref="A8:XFD28"/>
    </sheetView>
  </sheetViews>
  <sheetFormatPr defaultRowHeight="12" customHeight="1"/>
  <cols>
    <col min="1" max="1" width="3.77734375" style="127" customWidth="1"/>
    <col min="2" max="2" width="44.109375" style="145" customWidth="1"/>
    <col min="3" max="3" width="37.88671875" style="145" customWidth="1"/>
    <col min="4" max="4" width="15.44140625" style="145" customWidth="1"/>
    <col min="5" max="6" width="10.77734375" style="145" customWidth="1"/>
    <col min="7" max="7" width="7.77734375" style="141" customWidth="1"/>
    <col min="8" max="8" width="10.33203125" style="135" customWidth="1"/>
    <col min="9" max="9" width="4.6640625" style="135" customWidth="1"/>
    <col min="10" max="10" width="7.77734375" style="135" customWidth="1"/>
    <col min="11" max="11" width="10.21875" style="135" bestFit="1" customWidth="1"/>
    <col min="12" max="12" width="7.77734375" style="135" customWidth="1"/>
    <col min="13" max="13" width="7.77734375" style="130" customWidth="1"/>
    <col min="14" max="14" width="7.77734375" style="127" customWidth="1"/>
    <col min="15" max="15" width="1.44140625" style="127" customWidth="1"/>
    <col min="16" max="16384" width="8.88671875" style="127"/>
  </cols>
  <sheetData>
    <row r="1" spans="1:15" s="205" customFormat="1" ht="30" customHeight="1" thickBot="1">
      <c r="A1" s="1061" t="s">
        <v>570</v>
      </c>
      <c r="B1" s="1061"/>
      <c r="C1" s="583" t="str">
        <f>참여업체!D6</f>
        <v>＊＊엔지니어링</v>
      </c>
      <c r="D1" s="202"/>
      <c r="E1" s="202"/>
      <c r="F1" s="202"/>
      <c r="G1" s="203"/>
      <c r="H1" s="204"/>
      <c r="I1" s="204"/>
      <c r="K1" s="204"/>
      <c r="L1" s="204"/>
      <c r="M1" s="206"/>
    </row>
    <row r="2" spans="1:15" s="181" customFormat="1" ht="36.75" customHeight="1">
      <c r="A2" s="992" t="s">
        <v>564</v>
      </c>
      <c r="B2" s="994" t="s">
        <v>565</v>
      </c>
      <c r="C2" s="1005" t="s">
        <v>566</v>
      </c>
      <c r="D2" s="1005" t="s">
        <v>567</v>
      </c>
      <c r="E2" s="1057" t="s">
        <v>571</v>
      </c>
      <c r="F2" s="1058"/>
      <c r="G2" s="1003" t="s">
        <v>572</v>
      </c>
      <c r="H2" s="1053" t="s">
        <v>573</v>
      </c>
      <c r="I2" s="1059" t="s">
        <v>574</v>
      </c>
      <c r="J2" s="1001" t="s">
        <v>575</v>
      </c>
      <c r="K2" s="1001" t="s">
        <v>576</v>
      </c>
      <c r="L2" s="1001" t="s">
        <v>577</v>
      </c>
      <c r="M2" s="1001" t="s">
        <v>578</v>
      </c>
      <c r="N2" s="1055" t="s">
        <v>568</v>
      </c>
    </row>
    <row r="3" spans="1:15" s="181" customFormat="1" ht="34.5" customHeight="1">
      <c r="A3" s="993"/>
      <c r="B3" s="995"/>
      <c r="C3" s="1006"/>
      <c r="D3" s="1006"/>
      <c r="E3" s="182" t="s">
        <v>579</v>
      </c>
      <c r="F3" s="182" t="s">
        <v>569</v>
      </c>
      <c r="G3" s="1004"/>
      <c r="H3" s="1054"/>
      <c r="I3" s="1060"/>
      <c r="J3" s="1002"/>
      <c r="K3" s="1002"/>
      <c r="L3" s="1002"/>
      <c r="M3" s="1002"/>
      <c r="N3" s="1056"/>
    </row>
    <row r="4" spans="1:15" s="185" customFormat="1" ht="39.950000000000003" customHeight="1">
      <c r="A4" s="189">
        <v>1</v>
      </c>
      <c r="B4" s="190" t="s">
        <v>437</v>
      </c>
      <c r="C4" s="190" t="s">
        <v>438</v>
      </c>
      <c r="D4" s="199" t="s">
        <v>439</v>
      </c>
      <c r="E4" s="513">
        <v>38425</v>
      </c>
      <c r="F4" s="513">
        <v>40899</v>
      </c>
      <c r="G4" s="191">
        <v>9891</v>
      </c>
      <c r="H4" s="191">
        <v>1287</v>
      </c>
      <c r="I4" s="199">
        <v>0.3</v>
      </c>
      <c r="J4" s="192">
        <f>IF(G4-H4&lt;230,0,G4-H4)</f>
        <v>8604</v>
      </c>
      <c r="K4" s="192">
        <f>J4*I4</f>
        <v>2581.1999999999998</v>
      </c>
      <c r="L4" s="184">
        <f>(IF(J4&lt;배점기준!$E$75*100,0,IF(J4&lt;배점기준!$F$75*100,배점기준!$E$76,IF(J4&lt;배점기준!$G$75*100,배점기준!$F$76,배점기준!$G$76))))</f>
        <v>1.3</v>
      </c>
      <c r="M4" s="200">
        <f>I4*L4</f>
        <v>0.39</v>
      </c>
      <c r="N4" s="595"/>
    </row>
    <row r="5" spans="1:15" s="187" customFormat="1" ht="39.950000000000003" customHeight="1">
      <c r="A5" s="189">
        <v>2</v>
      </c>
      <c r="B5" s="190" t="s">
        <v>440</v>
      </c>
      <c r="C5" s="190" t="s">
        <v>441</v>
      </c>
      <c r="D5" s="199" t="s">
        <v>442</v>
      </c>
      <c r="E5" s="513">
        <v>38511</v>
      </c>
      <c r="F5" s="513">
        <v>41897</v>
      </c>
      <c r="G5" s="191">
        <v>7515</v>
      </c>
      <c r="H5" s="191">
        <v>1193</v>
      </c>
      <c r="I5" s="199">
        <v>0.3</v>
      </c>
      <c r="J5" s="192">
        <f t="shared" ref="J5:J7" si="0">IF(G5-H5&lt;230,0,G5-H5)</f>
        <v>6322</v>
      </c>
      <c r="K5" s="192">
        <f t="shared" ref="K5:K7" si="1">J5*I5</f>
        <v>1896.6</v>
      </c>
      <c r="L5" s="184">
        <f>(IF(J5&lt;배점기준!$E$75*100,0,IF(J5&lt;배점기준!$F$75*100,배점기준!$E$76,IF(J5&lt;배점기준!$G$75*100,배점기준!$F$76,배점기준!$G$76))))</f>
        <v>1.3</v>
      </c>
      <c r="M5" s="200">
        <f t="shared" ref="M5:M7" si="2">I5*L5</f>
        <v>0.39</v>
      </c>
      <c r="N5" s="595"/>
    </row>
    <row r="6" spans="1:15" s="187" customFormat="1" ht="39.950000000000003" customHeight="1">
      <c r="A6" s="189">
        <v>3</v>
      </c>
      <c r="B6" s="190" t="s">
        <v>443</v>
      </c>
      <c r="C6" s="190" t="s">
        <v>444</v>
      </c>
      <c r="D6" s="199" t="s">
        <v>445</v>
      </c>
      <c r="E6" s="513">
        <v>38551</v>
      </c>
      <c r="F6" s="513">
        <v>40543</v>
      </c>
      <c r="G6" s="191">
        <v>10961</v>
      </c>
      <c r="H6" s="191">
        <v>2848</v>
      </c>
      <c r="I6" s="199">
        <v>0.3</v>
      </c>
      <c r="J6" s="192">
        <f t="shared" si="0"/>
        <v>8113</v>
      </c>
      <c r="K6" s="192">
        <f t="shared" si="1"/>
        <v>2433.9</v>
      </c>
      <c r="L6" s="184">
        <f>(IF(J6&lt;배점기준!$E$75*100,0,IF(J6&lt;배점기준!$F$75*100,배점기준!$E$76,IF(J6&lt;배점기준!$G$75*100,배점기준!$F$76,배점기준!$G$76))))</f>
        <v>1.3</v>
      </c>
      <c r="M6" s="200">
        <f t="shared" si="2"/>
        <v>0.39</v>
      </c>
      <c r="N6" s="595"/>
    </row>
    <row r="7" spans="1:15" s="187" customFormat="1" ht="39.950000000000003" customHeight="1" thickBot="1">
      <c r="A7" s="189">
        <v>4</v>
      </c>
      <c r="B7" s="190" t="s">
        <v>446</v>
      </c>
      <c r="C7" s="190" t="s">
        <v>447</v>
      </c>
      <c r="D7" s="199" t="s">
        <v>472</v>
      </c>
      <c r="E7" s="513">
        <v>38975</v>
      </c>
      <c r="F7" s="513">
        <v>40543</v>
      </c>
      <c r="G7" s="191">
        <v>1627</v>
      </c>
      <c r="H7" s="191">
        <v>366</v>
      </c>
      <c r="I7" s="199">
        <v>0.4</v>
      </c>
      <c r="J7" s="192">
        <f t="shared" si="0"/>
        <v>1261</v>
      </c>
      <c r="K7" s="192">
        <f t="shared" si="1"/>
        <v>504.40000000000003</v>
      </c>
      <c r="L7" s="184">
        <f>(IF(J7&lt;배점기준!$E$75*100,0,IF(J7&lt;배점기준!$F$75*100,배점기준!$E$76,IF(J7&lt;배점기준!$G$75*100,배점기준!$F$76,배점기준!$G$76))))</f>
        <v>0.7</v>
      </c>
      <c r="M7" s="200">
        <f t="shared" si="2"/>
        <v>0.27999999999999997</v>
      </c>
      <c r="N7" s="595"/>
    </row>
    <row r="8" spans="1:15" s="185" customFormat="1" ht="35.1" customHeight="1" thickBot="1">
      <c r="A8" s="1050" t="s">
        <v>580</v>
      </c>
      <c r="B8" s="1051"/>
      <c r="C8" s="1051"/>
      <c r="D8" s="1051"/>
      <c r="E8" s="1051"/>
      <c r="F8" s="1051"/>
      <c r="G8" s="1051"/>
      <c r="H8" s="1051"/>
      <c r="I8" s="1052"/>
      <c r="J8" s="528"/>
      <c r="K8" s="529">
        <f>SUM(K4:K7)</f>
        <v>7416.0999999999985</v>
      </c>
      <c r="L8" s="654"/>
      <c r="M8" s="531">
        <f>SUM(M4:M7)</f>
        <v>1.45</v>
      </c>
      <c r="N8" s="532"/>
    </row>
    <row r="9" spans="1:15" ht="15.75" customHeight="1">
      <c r="A9" s="155"/>
      <c r="B9" s="166"/>
      <c r="C9" s="166"/>
      <c r="D9" s="166"/>
      <c r="E9" s="166"/>
      <c r="F9" s="166"/>
      <c r="G9" s="167"/>
      <c r="H9" s="156"/>
      <c r="I9" s="156"/>
      <c r="J9" s="168"/>
      <c r="K9" s="168"/>
      <c r="L9" s="169"/>
      <c r="M9" s="170"/>
    </row>
    <row r="10" spans="1:15" s="195" customFormat="1" ht="15" customHeight="1">
      <c r="A10" s="158" t="s">
        <v>581</v>
      </c>
      <c r="B10" s="159" t="s">
        <v>582</v>
      </c>
      <c r="C10" s="159"/>
      <c r="D10" s="159"/>
      <c r="E10" s="159"/>
      <c r="F10" s="159"/>
      <c r="G10" s="207"/>
      <c r="H10" s="196"/>
      <c r="I10" s="196"/>
      <c r="J10" s="196"/>
      <c r="K10" s="196"/>
      <c r="L10" s="208"/>
      <c r="M10" s="198"/>
    </row>
    <row r="11" spans="1:15" s="195" customFormat="1" ht="20.25" customHeight="1">
      <c r="A11" s="247" t="s">
        <v>583</v>
      </c>
      <c r="B11" s="159" t="s">
        <v>584</v>
      </c>
      <c r="C11" s="438"/>
      <c r="D11" s="438"/>
      <c r="E11" s="438"/>
      <c r="F11" s="438"/>
      <c r="G11" s="209"/>
      <c r="H11" s="197"/>
      <c r="I11" s="197"/>
      <c r="J11" s="197"/>
      <c r="K11" s="197"/>
      <c r="L11" s="197"/>
      <c r="M11" s="198"/>
    </row>
    <row r="12" spans="1:15" s="160" customFormat="1" ht="18.75" customHeight="1">
      <c r="A12" s="247" t="s">
        <v>585</v>
      </c>
      <c r="B12" s="159" t="s">
        <v>586</v>
      </c>
      <c r="C12" s="159"/>
      <c r="D12" s="159"/>
      <c r="E12" s="159"/>
      <c r="F12" s="159"/>
      <c r="G12" s="159"/>
      <c r="I12" s="161"/>
      <c r="J12" s="161"/>
      <c r="K12" s="161"/>
      <c r="L12" s="161"/>
      <c r="M12" s="161"/>
      <c r="N12" s="161"/>
      <c r="O12" s="161"/>
    </row>
    <row r="13" spans="1:15" s="195" customFormat="1" ht="12" customHeight="1">
      <c r="A13" s="247" t="s">
        <v>587</v>
      </c>
      <c r="B13" s="159" t="s">
        <v>588</v>
      </c>
      <c r="C13" s="159"/>
      <c r="D13" s="159"/>
      <c r="E13" s="159"/>
      <c r="F13" s="159"/>
      <c r="G13" s="209"/>
      <c r="H13" s="197"/>
      <c r="I13" s="197"/>
      <c r="J13" s="197"/>
      <c r="K13" s="197"/>
      <c r="L13" s="197"/>
      <c r="M13" s="198"/>
    </row>
    <row r="14" spans="1:15" s="195" customFormat="1" ht="15" customHeight="1">
      <c r="A14" s="247" t="s">
        <v>589</v>
      </c>
      <c r="B14" s="165" t="s">
        <v>590</v>
      </c>
      <c r="C14" s="165"/>
      <c r="D14" s="165"/>
      <c r="E14" s="165"/>
      <c r="F14" s="165"/>
      <c r="G14" s="209"/>
      <c r="H14" s="197"/>
      <c r="I14" s="197"/>
      <c r="J14" s="197"/>
      <c r="K14" s="197"/>
      <c r="L14" s="197"/>
      <c r="M14" s="198"/>
    </row>
    <row r="15" spans="1:15" s="195" customFormat="1" ht="15" customHeight="1">
      <c r="B15" s="145"/>
      <c r="C15" s="196"/>
      <c r="D15" s="196"/>
      <c r="E15" s="196"/>
      <c r="F15" s="196"/>
      <c r="G15" s="209"/>
      <c r="H15" s="197"/>
      <c r="I15" s="197"/>
      <c r="J15" s="197"/>
      <c r="K15" s="197"/>
      <c r="L15" s="197"/>
      <c r="M15" s="198"/>
    </row>
    <row r="16" spans="1:15" ht="15" customHeight="1"/>
  </sheetData>
  <mergeCells count="15">
    <mergeCell ref="N2:N3"/>
    <mergeCell ref="A8:I8"/>
    <mergeCell ref="G2:G3"/>
    <mergeCell ref="H2:H3"/>
    <mergeCell ref="I2:I3"/>
    <mergeCell ref="J2:J3"/>
    <mergeCell ref="K2:K3"/>
    <mergeCell ref="L2:L3"/>
    <mergeCell ref="E2:F2"/>
    <mergeCell ref="D2:D3"/>
    <mergeCell ref="A1:B1"/>
    <mergeCell ref="A2:A3"/>
    <mergeCell ref="B2:B3"/>
    <mergeCell ref="C2:C3"/>
    <mergeCell ref="M2:M3"/>
  </mergeCells>
  <phoneticPr fontId="2" type="noConversion"/>
  <pageMargins left="0.74803149606299213" right="0.74803149606299213" top="0.78740157480314965" bottom="0.78740157480314965" header="0.51181102362204722" footer="0.51181102362204722"/>
  <pageSetup paperSize="9" scale="59" fitToHeight="3" orientation="landscape" r:id="rId1"/>
  <headerFooter alignWithMargins="0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20"/>
  <sheetViews>
    <sheetView view="pageBreakPreview" topLeftCell="A4" zoomScaleNormal="115" zoomScaleSheetLayoutView="100" workbookViewId="0">
      <selection activeCell="A10" sqref="A10:XFD38"/>
    </sheetView>
  </sheetViews>
  <sheetFormatPr defaultRowHeight="12" customHeight="1"/>
  <cols>
    <col min="1" max="1" width="5" style="127" customWidth="1"/>
    <col min="2" max="2" width="26.6640625" style="145" customWidth="1"/>
    <col min="3" max="3" width="24.21875" style="145" customWidth="1"/>
    <col min="4" max="4" width="15.33203125" style="145" customWidth="1"/>
    <col min="5" max="6" width="10.77734375" style="145" customWidth="1"/>
    <col min="7" max="7" width="8.6640625" style="141" customWidth="1"/>
    <col min="8" max="8" width="11.33203125" style="135" customWidth="1"/>
    <col min="9" max="9" width="7.33203125" style="135" customWidth="1"/>
    <col min="10" max="11" width="8.6640625" style="135" customWidth="1"/>
    <col min="12" max="12" width="7.77734375" style="135" customWidth="1"/>
    <col min="13" max="13" width="7.77734375" style="130" customWidth="1"/>
    <col min="14" max="14" width="7.77734375" style="127" customWidth="1"/>
    <col min="15" max="15" width="1.44140625" style="127" customWidth="1"/>
    <col min="16" max="16" width="0" style="127" hidden="1" customWidth="1"/>
    <col min="17" max="16384" width="8.88671875" style="127"/>
  </cols>
  <sheetData>
    <row r="1" spans="1:18" s="205" customFormat="1" ht="30" customHeight="1" thickBot="1">
      <c r="A1" s="1049" t="s">
        <v>631</v>
      </c>
      <c r="B1" s="1049"/>
      <c r="C1" s="201" t="str">
        <f>참여업체!E6</f>
        <v>☆☆엔지니어링</v>
      </c>
      <c r="D1" s="202"/>
      <c r="E1" s="202"/>
      <c r="F1" s="202"/>
      <c r="G1" s="203"/>
      <c r="H1" s="204"/>
      <c r="I1" s="204"/>
      <c r="K1" s="204"/>
      <c r="L1" s="204"/>
      <c r="M1" s="206"/>
    </row>
    <row r="2" spans="1:18" s="181" customFormat="1" ht="28.5" customHeight="1">
      <c r="A2" s="992" t="s">
        <v>25</v>
      </c>
      <c r="B2" s="994" t="s">
        <v>51</v>
      </c>
      <c r="C2" s="1005" t="s">
        <v>52</v>
      </c>
      <c r="D2" s="1005" t="s">
        <v>53</v>
      </c>
      <c r="E2" s="1057" t="s">
        <v>29</v>
      </c>
      <c r="F2" s="1058"/>
      <c r="G2" s="1003" t="s">
        <v>271</v>
      </c>
      <c r="H2" s="1053" t="s">
        <v>57</v>
      </c>
      <c r="I2" s="1059" t="s">
        <v>546</v>
      </c>
      <c r="J2" s="1001" t="s">
        <v>76</v>
      </c>
      <c r="K2" s="1001" t="s">
        <v>66</v>
      </c>
      <c r="L2" s="1001" t="s">
        <v>544</v>
      </c>
      <c r="M2" s="1001" t="s">
        <v>545</v>
      </c>
      <c r="N2" s="1055" t="s">
        <v>206</v>
      </c>
    </row>
    <row r="3" spans="1:18" s="181" customFormat="1" ht="30.75" customHeight="1">
      <c r="A3" s="993"/>
      <c r="B3" s="995"/>
      <c r="C3" s="1006"/>
      <c r="D3" s="1006"/>
      <c r="E3" s="182" t="s">
        <v>55</v>
      </c>
      <c r="F3" s="182" t="s">
        <v>56</v>
      </c>
      <c r="G3" s="1004"/>
      <c r="H3" s="1054"/>
      <c r="I3" s="1060"/>
      <c r="J3" s="1002"/>
      <c r="K3" s="1002"/>
      <c r="L3" s="1002"/>
      <c r="M3" s="1002"/>
      <c r="N3" s="1056"/>
      <c r="P3" s="181" t="s">
        <v>501</v>
      </c>
    </row>
    <row r="4" spans="1:18" s="185" customFormat="1" ht="30" customHeight="1">
      <c r="A4" s="189">
        <v>1</v>
      </c>
      <c r="B4" s="517" t="s">
        <v>410</v>
      </c>
      <c r="C4" s="512" t="s">
        <v>628</v>
      </c>
      <c r="D4" s="518" t="s">
        <v>408</v>
      </c>
      <c r="E4" s="519">
        <v>39805</v>
      </c>
      <c r="F4" s="519">
        <v>40392</v>
      </c>
      <c r="G4" s="191">
        <v>593</v>
      </c>
      <c r="H4" s="520">
        <v>0</v>
      </c>
      <c r="I4" s="521">
        <v>0.7</v>
      </c>
      <c r="J4" s="192">
        <f t="shared" ref="J4:J9" si="0">IF(G4-H4&lt;230,0,G4-H4)</f>
        <v>593</v>
      </c>
      <c r="K4" s="192">
        <f t="shared" ref="K4:K9" si="1">J4*I4</f>
        <v>415.09999999999997</v>
      </c>
      <c r="L4" s="184">
        <f>(IF(J4&lt;배점기준!$E$75*100,0,IF(J4&lt;배점기준!$F$75*100,배점기준!$E$76,IF(J4&lt;배점기준!$G$75*100,배점기준!$F$76,배점기준!$G$76))))</f>
        <v>0.7</v>
      </c>
      <c r="M4" s="200">
        <f t="shared" ref="M4:M9" si="2">I4*L4</f>
        <v>0.48999999999999994</v>
      </c>
      <c r="N4" s="627"/>
      <c r="P4" s="596"/>
      <c r="Q4" s="556"/>
    </row>
    <row r="5" spans="1:18" s="187" customFormat="1" ht="30" customHeight="1">
      <c r="A5" s="189">
        <v>2</v>
      </c>
      <c r="B5" s="517" t="s">
        <v>459</v>
      </c>
      <c r="C5" s="512" t="s">
        <v>628</v>
      </c>
      <c r="D5" s="518" t="s">
        <v>542</v>
      </c>
      <c r="E5" s="519">
        <v>39734</v>
      </c>
      <c r="F5" s="519">
        <v>40421</v>
      </c>
      <c r="G5" s="191">
        <v>4668</v>
      </c>
      <c r="H5" s="520">
        <v>343</v>
      </c>
      <c r="I5" s="521">
        <v>0.28999999999999998</v>
      </c>
      <c r="J5" s="192">
        <f t="shared" si="0"/>
        <v>4325</v>
      </c>
      <c r="K5" s="192">
        <f t="shared" si="1"/>
        <v>1254.25</v>
      </c>
      <c r="L5" s="184">
        <f>(IF(J5&lt;배점기준!$E$75*100,0,IF(J5&lt;배점기준!$F$75*100,배점기준!$E$76,IF(J5&lt;배점기준!$G$75*100,배점기준!$F$76,배점기준!$G$76))))</f>
        <v>1.3</v>
      </c>
      <c r="M5" s="200">
        <f t="shared" si="2"/>
        <v>0.377</v>
      </c>
      <c r="N5" s="628"/>
      <c r="P5" s="596"/>
      <c r="Q5" s="556"/>
    </row>
    <row r="6" spans="1:18" s="187" customFormat="1" ht="30" customHeight="1">
      <c r="A6" s="189">
        <v>3</v>
      </c>
      <c r="B6" s="517" t="s">
        <v>460</v>
      </c>
      <c r="C6" s="512" t="s">
        <v>455</v>
      </c>
      <c r="D6" s="518" t="s">
        <v>542</v>
      </c>
      <c r="E6" s="519">
        <v>39987</v>
      </c>
      <c r="F6" s="519">
        <v>40532</v>
      </c>
      <c r="G6" s="191">
        <v>927</v>
      </c>
      <c r="H6" s="520">
        <v>0</v>
      </c>
      <c r="I6" s="521">
        <v>0.76</v>
      </c>
      <c r="J6" s="192">
        <f t="shared" si="0"/>
        <v>927</v>
      </c>
      <c r="K6" s="192">
        <f t="shared" si="1"/>
        <v>704.52</v>
      </c>
      <c r="L6" s="184">
        <f>(IF(J6&lt;배점기준!$E$75*100,0,IF(J6&lt;배점기준!$F$75*100,배점기준!$E$76,IF(J6&lt;배점기준!$G$75*100,배점기준!$F$76,배점기준!$G$76))))</f>
        <v>0.7</v>
      </c>
      <c r="M6" s="200">
        <f t="shared" si="2"/>
        <v>0.53199999999999992</v>
      </c>
      <c r="N6" s="628"/>
      <c r="P6" s="596"/>
      <c r="Q6" s="556"/>
    </row>
    <row r="7" spans="1:18" s="187" customFormat="1" ht="30" customHeight="1">
      <c r="A7" s="189">
        <v>4</v>
      </c>
      <c r="B7" s="517" t="s">
        <v>411</v>
      </c>
      <c r="C7" s="512" t="s">
        <v>629</v>
      </c>
      <c r="D7" s="518" t="s">
        <v>412</v>
      </c>
      <c r="E7" s="519">
        <v>40295</v>
      </c>
      <c r="F7" s="519">
        <v>40532</v>
      </c>
      <c r="G7" s="191">
        <v>349</v>
      </c>
      <c r="H7" s="520">
        <v>0</v>
      </c>
      <c r="I7" s="521">
        <v>0.7</v>
      </c>
      <c r="J7" s="192">
        <f t="shared" si="0"/>
        <v>349</v>
      </c>
      <c r="K7" s="192">
        <f t="shared" si="1"/>
        <v>244.29999999999998</v>
      </c>
      <c r="L7" s="184">
        <f>(IF(J7&lt;배점기준!$E$75*100,0,IF(J7&lt;배점기준!$F$75*100,배점기준!$E$76,IF(J7&lt;배점기준!$G$75*100,배점기준!$F$76,배점기준!$G$76))))</f>
        <v>0.7</v>
      </c>
      <c r="M7" s="200">
        <f t="shared" si="2"/>
        <v>0.48999999999999994</v>
      </c>
      <c r="N7" s="628"/>
      <c r="P7" s="596"/>
      <c r="Q7" s="556"/>
    </row>
    <row r="8" spans="1:18" s="187" customFormat="1" ht="42" customHeight="1">
      <c r="A8" s="189">
        <v>5</v>
      </c>
      <c r="B8" s="517" t="s">
        <v>461</v>
      </c>
      <c r="C8" s="512" t="s">
        <v>453</v>
      </c>
      <c r="D8" s="518" t="s">
        <v>454</v>
      </c>
      <c r="E8" s="519">
        <v>39680</v>
      </c>
      <c r="F8" s="519">
        <v>40542</v>
      </c>
      <c r="G8" s="191">
        <v>259</v>
      </c>
      <c r="H8" s="520">
        <v>0</v>
      </c>
      <c r="I8" s="521">
        <v>1</v>
      </c>
      <c r="J8" s="192">
        <f t="shared" si="0"/>
        <v>259</v>
      </c>
      <c r="K8" s="192">
        <f t="shared" si="1"/>
        <v>259</v>
      </c>
      <c r="L8" s="184">
        <f>(IF(J8&lt;배점기준!$E$75*100,0,IF(J8&lt;배점기준!$F$75*100,배점기준!$E$76,IF(J8&lt;배점기준!$G$75*100,배점기준!$F$76,배점기준!$G$76))))</f>
        <v>0.7</v>
      </c>
      <c r="M8" s="200">
        <f t="shared" si="2"/>
        <v>0.7</v>
      </c>
      <c r="N8" s="628"/>
      <c r="P8" s="596"/>
      <c r="Q8" s="556"/>
    </row>
    <row r="9" spans="1:18" s="187" customFormat="1" ht="30" customHeight="1" thickBot="1">
      <c r="A9" s="189">
        <v>6</v>
      </c>
      <c r="B9" s="517" t="s">
        <v>462</v>
      </c>
      <c r="C9" s="512" t="s">
        <v>628</v>
      </c>
      <c r="D9" s="518" t="s">
        <v>409</v>
      </c>
      <c r="E9" s="519">
        <v>38114</v>
      </c>
      <c r="F9" s="519">
        <v>40543</v>
      </c>
      <c r="G9" s="191">
        <v>2168</v>
      </c>
      <c r="H9" s="520">
        <f>47+23+256+138+51+45+88+19+28+124+266</f>
        <v>1085</v>
      </c>
      <c r="I9" s="521">
        <v>0.3</v>
      </c>
      <c r="J9" s="192">
        <f t="shared" si="0"/>
        <v>1083</v>
      </c>
      <c r="K9" s="192">
        <f t="shared" si="1"/>
        <v>324.89999999999998</v>
      </c>
      <c r="L9" s="184">
        <f>(IF(J9&lt;배점기준!$E$75*100,0,IF(J9&lt;배점기준!$F$75*100,배점기준!$E$76,IF(J9&lt;배점기준!$G$75*100,배점기준!$F$76,배점기준!$G$76))))</f>
        <v>0.7</v>
      </c>
      <c r="M9" s="200">
        <f t="shared" si="2"/>
        <v>0.21</v>
      </c>
      <c r="N9" s="628"/>
      <c r="P9" s="596"/>
      <c r="Q9" s="556"/>
    </row>
    <row r="10" spans="1:18" s="185" customFormat="1" ht="35.1" customHeight="1" thickBot="1">
      <c r="A10" s="1050" t="s">
        <v>67</v>
      </c>
      <c r="B10" s="1051"/>
      <c r="C10" s="1051"/>
      <c r="D10" s="1051"/>
      <c r="E10" s="1051"/>
      <c r="F10" s="1051"/>
      <c r="G10" s="1051"/>
      <c r="H10" s="1051"/>
      <c r="I10" s="1052"/>
      <c r="J10" s="528"/>
      <c r="K10" s="529">
        <f>SUM(K4:K9)</f>
        <v>3202.07</v>
      </c>
      <c r="L10" s="530"/>
      <c r="M10" s="531">
        <f>SUM(M4:M9)</f>
        <v>2.7989999999999999</v>
      </c>
      <c r="N10" s="532"/>
    </row>
    <row r="11" spans="1:18" ht="15.75" customHeight="1">
      <c r="A11" s="155"/>
      <c r="B11" s="166"/>
      <c r="C11" s="166"/>
      <c r="D11" s="166"/>
      <c r="E11" s="166"/>
      <c r="F11" s="166"/>
      <c r="G11" s="167"/>
      <c r="H11" s="156"/>
      <c r="I11" s="156"/>
      <c r="J11" s="168"/>
      <c r="K11" s="168"/>
      <c r="L11" s="169"/>
      <c r="M11" s="170"/>
    </row>
    <row r="12" spans="1:18" s="195" customFormat="1" ht="15" customHeight="1">
      <c r="A12" s="158" t="s">
        <v>316</v>
      </c>
      <c r="B12" s="159" t="s">
        <v>317</v>
      </c>
      <c r="C12" s="159"/>
      <c r="D12" s="159"/>
      <c r="E12" s="159"/>
      <c r="F12" s="159"/>
      <c r="G12" s="207"/>
      <c r="H12" s="196"/>
      <c r="I12" s="196"/>
      <c r="J12" s="196"/>
      <c r="K12" s="196"/>
      <c r="L12" s="208"/>
      <c r="M12" s="198"/>
      <c r="N12" s="198"/>
      <c r="P12" s="160"/>
      <c r="Q12" s="160"/>
    </row>
    <row r="13" spans="1:18" s="195" customFormat="1" ht="20.25" customHeight="1">
      <c r="A13" s="247" t="s">
        <v>59</v>
      </c>
      <c r="B13" s="159" t="s">
        <v>62</v>
      </c>
      <c r="C13" s="438"/>
      <c r="D13" s="438"/>
      <c r="E13" s="438"/>
      <c r="F13" s="438"/>
      <c r="G13" s="209"/>
      <c r="H13" s="197"/>
      <c r="I13" s="197"/>
      <c r="J13" s="197"/>
      <c r="K13" s="623"/>
      <c r="L13" s="197"/>
      <c r="M13" s="198"/>
      <c r="R13" s="160"/>
    </row>
    <row r="14" spans="1:18" s="160" customFormat="1" ht="55.5" customHeight="1">
      <c r="A14" s="510" t="s">
        <v>403</v>
      </c>
      <c r="B14" s="991" t="s">
        <v>399</v>
      </c>
      <c r="C14" s="991"/>
      <c r="D14" s="991"/>
      <c r="E14" s="991"/>
      <c r="F14" s="991"/>
      <c r="G14" s="991"/>
      <c r="H14" s="991"/>
      <c r="I14" s="991"/>
      <c r="J14" s="991"/>
      <c r="K14" s="991"/>
      <c r="L14" s="161"/>
      <c r="M14" s="161"/>
    </row>
    <row r="15" spans="1:18" s="160" customFormat="1" ht="18.75" customHeight="1">
      <c r="A15" s="510" t="s">
        <v>404</v>
      </c>
      <c r="B15" s="159" t="s">
        <v>398</v>
      </c>
      <c r="C15" s="159"/>
      <c r="D15" s="159"/>
      <c r="E15" s="159"/>
      <c r="F15" s="159"/>
      <c r="G15" s="159"/>
      <c r="I15" s="322"/>
      <c r="J15" s="161"/>
      <c r="K15" s="161"/>
      <c r="L15" s="161"/>
      <c r="M15" s="161"/>
    </row>
    <row r="16" spans="1:18" s="160" customFormat="1" ht="18.75" customHeight="1">
      <c r="A16" s="247" t="s">
        <v>400</v>
      </c>
      <c r="B16" s="159" t="s">
        <v>63</v>
      </c>
      <c r="C16" s="159"/>
      <c r="D16" s="159"/>
      <c r="E16" s="159"/>
      <c r="F16" s="159"/>
      <c r="G16" s="159"/>
      <c r="I16" s="161"/>
      <c r="J16" s="161"/>
      <c r="K16" s="161"/>
      <c r="L16" s="161"/>
      <c r="M16" s="161"/>
      <c r="N16" s="161"/>
      <c r="O16" s="161"/>
    </row>
    <row r="17" spans="1:13" s="195" customFormat="1" ht="12" customHeight="1">
      <c r="A17" s="247" t="s">
        <v>401</v>
      </c>
      <c r="B17" s="159" t="s">
        <v>64</v>
      </c>
      <c r="C17" s="159"/>
      <c r="D17" s="159"/>
      <c r="E17" s="159"/>
      <c r="F17" s="159"/>
      <c r="G17" s="209"/>
      <c r="H17" s="197"/>
      <c r="I17" s="197"/>
      <c r="J17" s="197"/>
      <c r="K17" s="197"/>
      <c r="L17" s="197"/>
      <c r="M17" s="198"/>
    </row>
    <row r="18" spans="1:13" s="195" customFormat="1" ht="15" customHeight="1">
      <c r="A18" s="247" t="s">
        <v>402</v>
      </c>
      <c r="B18" s="165" t="s">
        <v>65</v>
      </c>
      <c r="C18" s="165"/>
      <c r="D18" s="165"/>
      <c r="E18" s="165"/>
      <c r="F18" s="165"/>
      <c r="G18" s="209"/>
      <c r="H18" s="197"/>
      <c r="I18" s="197"/>
      <c r="J18" s="197"/>
      <c r="K18" s="197"/>
      <c r="L18" s="197"/>
      <c r="M18" s="198"/>
    </row>
    <row r="19" spans="1:13" s="195" customFormat="1" ht="15" customHeight="1">
      <c r="B19" s="145"/>
      <c r="C19" s="196"/>
      <c r="D19" s="196"/>
      <c r="E19" s="196"/>
      <c r="F19" s="196"/>
      <c r="G19" s="209"/>
      <c r="H19" s="197"/>
      <c r="I19" s="197"/>
      <c r="J19" s="197"/>
      <c r="K19" s="197"/>
      <c r="L19" s="197"/>
      <c r="M19" s="198"/>
    </row>
    <row r="20" spans="1:13" ht="15" customHeight="1"/>
  </sheetData>
  <mergeCells count="16">
    <mergeCell ref="N2:N3"/>
    <mergeCell ref="A1:B1"/>
    <mergeCell ref="A2:A3"/>
    <mergeCell ref="B2:B3"/>
    <mergeCell ref="C2:C3"/>
    <mergeCell ref="M2:M3"/>
    <mergeCell ref="A10:I10"/>
    <mergeCell ref="L2:L3"/>
    <mergeCell ref="B14:K14"/>
    <mergeCell ref="G2:G3"/>
    <mergeCell ref="H2:H3"/>
    <mergeCell ref="I2:I3"/>
    <mergeCell ref="J2:J3"/>
    <mergeCell ref="K2:K3"/>
    <mergeCell ref="E2:F2"/>
    <mergeCell ref="D2:D3"/>
  </mergeCells>
  <phoneticPr fontId="2" type="noConversion"/>
  <pageMargins left="0.74803149606299213" right="0.74803149606299213" top="0.97" bottom="0.75" header="0.51181102362204722" footer="0.51181102362204722"/>
  <pageSetup paperSize="9" scale="70" fitToHeight="3" orientation="landscape" r:id="rId1"/>
  <headerFooter alignWithMargins="0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2"/>
  </sheetPr>
  <dimension ref="A1:X23"/>
  <sheetViews>
    <sheetView view="pageBreakPreview" zoomScale="85" zoomScaleNormal="55" zoomScaleSheetLayoutView="70" workbookViewId="0">
      <selection activeCell="S28" sqref="S28"/>
    </sheetView>
  </sheetViews>
  <sheetFormatPr defaultRowHeight="15.95" customHeight="1"/>
  <cols>
    <col min="1" max="1" width="1.88671875" style="25" customWidth="1"/>
    <col min="2" max="5" width="26.6640625" style="25" customWidth="1"/>
    <col min="6" max="9" width="5.6640625" style="25" bestFit="1" customWidth="1"/>
    <col min="10" max="10" width="6.5546875" style="25" customWidth="1"/>
    <col min="11" max="11" width="6.44140625" style="25" customWidth="1"/>
    <col min="12" max="16" width="5.6640625" style="2" bestFit="1" customWidth="1"/>
    <col min="17" max="17" width="5.77734375" style="2" customWidth="1"/>
    <col min="18" max="18" width="5.6640625" style="2" bestFit="1" customWidth="1"/>
    <col min="19" max="19" width="5.5546875" style="2" customWidth="1"/>
    <col min="20" max="21" width="7.88671875" style="2" customWidth="1"/>
    <col min="22" max="22" width="9.109375" style="2" customWidth="1"/>
    <col min="23" max="23" width="8.33203125" style="2" customWidth="1"/>
    <col min="24" max="24" width="7.88671875" style="19" customWidth="1"/>
    <col min="25" max="25" width="6.33203125" style="2" bestFit="1" customWidth="1"/>
    <col min="26" max="26" width="8.77734375" style="2" customWidth="1"/>
    <col min="27" max="27" width="6.33203125" style="2" bestFit="1" customWidth="1"/>
    <col min="28" max="28" width="8.5546875" style="2" customWidth="1"/>
    <col min="29" max="29" width="7.5546875" style="2" bestFit="1" customWidth="1"/>
    <col min="30" max="30" width="6" style="2" customWidth="1"/>
    <col min="31" max="31" width="9.44140625" style="2" customWidth="1"/>
    <col min="32" max="32" width="4" style="2" customWidth="1"/>
    <col min="33" max="33" width="7.77734375" style="2" customWidth="1"/>
    <col min="34" max="16384" width="8.88671875" style="2"/>
  </cols>
  <sheetData>
    <row r="1" spans="1:24" s="8" customFormat="1" ht="28.5" customHeight="1">
      <c r="A1" s="77"/>
      <c r="B1" s="77" t="s">
        <v>244</v>
      </c>
      <c r="C1" s="78"/>
      <c r="D1" s="78"/>
      <c r="E1" s="78"/>
      <c r="F1" s="78"/>
      <c r="G1" s="78"/>
      <c r="H1" s="78"/>
      <c r="I1" s="78"/>
      <c r="J1" s="78"/>
      <c r="K1" s="78"/>
      <c r="X1" s="20"/>
    </row>
    <row r="2" spans="1:24" s="4" customFormat="1" ht="20.100000000000001" customHeight="1">
      <c r="A2" s="106"/>
      <c r="B2" s="26"/>
      <c r="C2" s="26"/>
      <c r="D2" s="26"/>
      <c r="E2" s="26"/>
      <c r="F2" s="26"/>
      <c r="G2" s="26"/>
      <c r="H2" s="26"/>
      <c r="I2" s="26"/>
      <c r="J2" s="26"/>
      <c r="K2" s="26"/>
      <c r="X2" s="18"/>
    </row>
    <row r="3" spans="1:24" s="4" customFormat="1" ht="48.75" customHeight="1">
      <c r="A3" s="106"/>
      <c r="B3" s="279" t="s">
        <v>240</v>
      </c>
      <c r="C3" s="1022" t="s">
        <v>498</v>
      </c>
      <c r="D3" s="1022"/>
      <c r="E3" s="1022"/>
      <c r="F3" s="26"/>
      <c r="G3" s="26"/>
      <c r="H3" s="26"/>
      <c r="I3" s="26"/>
      <c r="J3" s="26"/>
      <c r="K3" s="26"/>
      <c r="X3" s="18"/>
    </row>
    <row r="4" spans="1:24" s="4" customFormat="1" ht="48.75" customHeight="1">
      <c r="A4" s="106"/>
      <c r="B4" s="279" t="s">
        <v>241</v>
      </c>
      <c r="C4" s="1022"/>
      <c r="D4" s="1022"/>
      <c r="E4" s="1022"/>
      <c r="F4" s="26"/>
      <c r="G4" s="26"/>
      <c r="H4" s="26"/>
      <c r="I4" s="26"/>
      <c r="J4" s="26"/>
      <c r="K4" s="26"/>
      <c r="X4" s="18"/>
    </row>
    <row r="5" spans="1:24" s="4" customFormat="1" ht="48.75" customHeight="1">
      <c r="A5" s="106"/>
      <c r="B5" s="1023" t="s">
        <v>364</v>
      </c>
      <c r="C5" s="1023"/>
      <c r="D5" s="1023"/>
      <c r="E5" s="1023"/>
      <c r="F5" s="26"/>
      <c r="G5" s="26"/>
      <c r="H5" s="26"/>
      <c r="I5" s="26"/>
      <c r="J5" s="26"/>
      <c r="K5" s="26"/>
      <c r="X5" s="18"/>
    </row>
    <row r="6" spans="1:24" s="4" customFormat="1" ht="48.75" customHeight="1">
      <c r="A6" s="106"/>
      <c r="B6" s="279" t="s">
        <v>366</v>
      </c>
      <c r="C6" s="502"/>
      <c r="D6" s="279" t="s">
        <v>367</v>
      </c>
      <c r="E6" s="502"/>
      <c r="F6" s="26"/>
      <c r="G6" s="26"/>
      <c r="H6" s="26"/>
      <c r="I6" s="26"/>
      <c r="J6" s="26"/>
      <c r="K6" s="26"/>
      <c r="X6" s="18"/>
    </row>
    <row r="7" spans="1:24" s="4" customFormat="1" ht="48.75" customHeight="1">
      <c r="A7" s="106"/>
      <c r="B7" s="279" t="s">
        <v>370</v>
      </c>
      <c r="C7" s="1062"/>
      <c r="D7" s="1063"/>
      <c r="E7" s="1064"/>
      <c r="F7" s="26"/>
      <c r="G7" s="26"/>
      <c r="H7" s="26"/>
      <c r="I7" s="26"/>
      <c r="J7" s="26"/>
      <c r="K7" s="26"/>
      <c r="X7" s="18"/>
    </row>
    <row r="8" spans="1:24" s="4" customFormat="1" ht="48.75" customHeight="1">
      <c r="A8" s="106"/>
      <c r="B8" s="1023" t="s">
        <v>365</v>
      </c>
      <c r="C8" s="1023"/>
      <c r="D8" s="1023"/>
      <c r="E8" s="1023"/>
      <c r="F8" s="26"/>
      <c r="G8" s="26"/>
      <c r="H8" s="26"/>
      <c r="I8" s="26"/>
      <c r="J8" s="26"/>
      <c r="K8" s="26"/>
      <c r="X8" s="18"/>
    </row>
    <row r="9" spans="1:24" s="4" customFormat="1" ht="48.75" customHeight="1">
      <c r="A9" s="106"/>
      <c r="B9" s="279" t="s">
        <v>368</v>
      </c>
      <c r="C9" s="501"/>
      <c r="D9" s="501"/>
      <c r="E9" s="501"/>
      <c r="F9" s="26"/>
      <c r="G9" s="26"/>
      <c r="H9" s="26"/>
      <c r="I9" s="26"/>
      <c r="J9" s="26"/>
      <c r="K9" s="26"/>
      <c r="X9" s="18"/>
    </row>
    <row r="10" spans="1:24" s="4" customFormat="1" ht="48.75" customHeight="1">
      <c r="A10" s="106"/>
      <c r="B10" s="279" t="s">
        <v>369</v>
      </c>
      <c r="C10" s="501"/>
      <c r="D10" s="501"/>
      <c r="E10" s="501"/>
      <c r="F10" s="26"/>
      <c r="G10" s="26"/>
      <c r="H10" s="26"/>
      <c r="I10" s="26"/>
      <c r="J10" s="26"/>
      <c r="K10" s="26"/>
      <c r="X10" s="18"/>
    </row>
    <row r="11" spans="1:24" ht="20.100000000000001" customHeight="1">
      <c r="F11" s="110"/>
      <c r="G11" s="110"/>
      <c r="H11" s="26"/>
      <c r="I11" s="26"/>
      <c r="J11" s="26"/>
      <c r="K11" s="26"/>
      <c r="L11" s="4"/>
      <c r="M11" s="4"/>
      <c r="N11" s="4"/>
      <c r="O11" s="4"/>
      <c r="P11" s="4"/>
      <c r="Q11" s="4"/>
      <c r="R11" s="4"/>
      <c r="S11" s="4"/>
    </row>
    <row r="12" spans="1:24" ht="18.75" customHeight="1">
      <c r="B12" s="174"/>
      <c r="C12" s="180"/>
      <c r="D12" s="176"/>
      <c r="E12" s="176"/>
      <c r="F12" s="180"/>
      <c r="G12" s="176"/>
      <c r="H12" s="180"/>
      <c r="I12" s="176"/>
      <c r="J12" s="111"/>
      <c r="K12" s="111"/>
    </row>
    <row r="13" spans="1:24" ht="18.75" customHeight="1">
      <c r="B13" s="178" t="s">
        <v>239</v>
      </c>
      <c r="C13" s="171" t="s">
        <v>243</v>
      </c>
      <c r="D13" s="173"/>
      <c r="E13" s="173"/>
    </row>
    <row r="14" spans="1:24" ht="15.95" customHeight="1">
      <c r="B14" s="178"/>
      <c r="C14" s="171"/>
      <c r="D14" s="173"/>
      <c r="E14" s="173"/>
    </row>
    <row r="15" spans="1:24" ht="15.95" customHeight="1">
      <c r="B15" s="178"/>
      <c r="C15" s="171"/>
      <c r="D15" s="173"/>
      <c r="E15" s="173"/>
    </row>
    <row r="16" spans="1:24" ht="15.95" customHeight="1">
      <c r="B16" s="173"/>
      <c r="C16" s="173"/>
      <c r="D16" s="173"/>
      <c r="E16" s="173"/>
    </row>
    <row r="23" spans="16:16" ht="15.95" customHeight="1">
      <c r="P23" s="548"/>
    </row>
  </sheetData>
  <mergeCells count="5">
    <mergeCell ref="C4:E4"/>
    <mergeCell ref="C3:E3"/>
    <mergeCell ref="B8:E8"/>
    <mergeCell ref="B5:E5"/>
    <mergeCell ref="C7:E7"/>
  </mergeCells>
  <phoneticPr fontId="2" type="noConversion"/>
  <pageMargins left="0.74803149606299213" right="0.74803149606299213" top="0.97" bottom="0.78740157480314965" header="0.51181102362204722" footer="0.51181102362204722"/>
  <pageSetup paperSize="9" orientation="landscape" horizontalDpi="4294967293" r:id="rId1"/>
  <headerFooter alignWithMargins="0"/>
  <colBreaks count="1" manualBreakCount="1">
    <brk id="31" max="62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6"/>
  <sheetViews>
    <sheetView view="pageBreakPreview" zoomScale="85" zoomScaleNormal="70" zoomScaleSheetLayoutView="70" workbookViewId="0">
      <selection activeCell="G7" sqref="G7"/>
    </sheetView>
  </sheetViews>
  <sheetFormatPr defaultRowHeight="15.95" customHeight="1"/>
  <cols>
    <col min="1" max="1" width="3.21875" style="25" customWidth="1"/>
    <col min="2" max="2" width="25.21875" style="25" customWidth="1"/>
    <col min="3" max="7" width="20.77734375" style="25" customWidth="1"/>
    <col min="8" max="8" width="7.77734375" style="25" customWidth="1"/>
    <col min="9" max="9" width="6.6640625" style="25" customWidth="1"/>
    <col min="10" max="10" width="15" style="2" customWidth="1"/>
    <col min="11" max="12" width="14.33203125" style="2" customWidth="1"/>
    <col min="13" max="13" width="12.33203125" style="23" customWidth="1"/>
    <col min="14" max="14" width="7.88671875" style="2" customWidth="1"/>
    <col min="15" max="15" width="10.109375" style="2" bestFit="1" customWidth="1"/>
    <col min="16" max="16" width="7.77734375" style="2" customWidth="1"/>
    <col min="17" max="16384" width="8.88671875" style="2"/>
  </cols>
  <sheetData>
    <row r="1" spans="1:13" s="8" customFormat="1" ht="20.100000000000001" customHeight="1">
      <c r="A1" s="77" t="s">
        <v>747</v>
      </c>
      <c r="B1" s="78"/>
      <c r="C1" s="78"/>
      <c r="D1" s="78"/>
      <c r="E1" s="78"/>
      <c r="F1" s="78"/>
      <c r="G1" s="78"/>
      <c r="H1" s="78"/>
      <c r="I1" s="78"/>
      <c r="M1" s="21"/>
    </row>
    <row r="2" spans="1:13" s="4" customFormat="1" ht="20.100000000000001" customHeight="1">
      <c r="A2" s="26"/>
      <c r="B2" s="1071" t="s">
        <v>748</v>
      </c>
      <c r="C2" s="1065" t="s">
        <v>749</v>
      </c>
      <c r="D2" s="1065" t="s">
        <v>750</v>
      </c>
      <c r="E2" s="1065" t="s">
        <v>751</v>
      </c>
      <c r="F2" s="1065" t="s">
        <v>752</v>
      </c>
      <c r="G2" s="1065" t="s">
        <v>753</v>
      </c>
    </row>
    <row r="3" spans="1:13" s="4" customFormat="1" ht="20.100000000000001" customHeight="1">
      <c r="A3" s="26"/>
      <c r="B3" s="1072"/>
      <c r="C3" s="1065"/>
      <c r="D3" s="1065"/>
      <c r="E3" s="1065"/>
      <c r="F3" s="1065"/>
      <c r="G3" s="1065"/>
    </row>
    <row r="4" spans="1:13" s="4" customFormat="1" ht="27" customHeight="1">
      <c r="A4" s="26"/>
      <c r="B4" s="1066" t="s">
        <v>757</v>
      </c>
      <c r="C4" s="801" t="s">
        <v>754</v>
      </c>
      <c r="D4" s="802"/>
      <c r="E4" s="802"/>
      <c r="F4" s="803"/>
      <c r="G4" s="804">
        <v>100</v>
      </c>
    </row>
    <row r="5" spans="1:13" s="4" customFormat="1" ht="27" customHeight="1" thickBot="1">
      <c r="A5" s="26"/>
      <c r="B5" s="1067"/>
      <c r="C5" s="1068"/>
      <c r="D5" s="1069"/>
      <c r="E5" s="1069"/>
      <c r="F5" s="1070"/>
      <c r="G5" s="805">
        <v>2</v>
      </c>
    </row>
    <row r="6" spans="1:13" s="4" customFormat="1" ht="27" customHeight="1" thickBot="1">
      <c r="A6" s="26"/>
      <c r="B6" s="806" t="s">
        <v>539</v>
      </c>
      <c r="C6" s="807"/>
      <c r="D6" s="807"/>
      <c r="E6" s="807"/>
      <c r="F6" s="807"/>
      <c r="G6" s="808">
        <f>G5</f>
        <v>2</v>
      </c>
    </row>
    <row r="7" spans="1:13" ht="10.5" customHeight="1"/>
    <row r="8" spans="1:13" ht="15.95" customHeight="1">
      <c r="B8" s="311"/>
    </row>
    <row r="9" spans="1:13" ht="15.95" customHeight="1">
      <c r="A9" s="158" t="s">
        <v>756</v>
      </c>
      <c r="B9" s="159" t="s">
        <v>758</v>
      </c>
      <c r="C9" s="159"/>
      <c r="D9" s="244"/>
      <c r="E9" s="244"/>
    </row>
    <row r="10" spans="1:13" ht="15.95" customHeight="1">
      <c r="A10" s="244"/>
      <c r="B10" s="159"/>
      <c r="C10" s="159"/>
      <c r="D10" s="244"/>
      <c r="E10" s="244"/>
    </row>
    <row r="11" spans="1:13" ht="15.95" customHeight="1">
      <c r="B11" s="164"/>
      <c r="C11" s="164"/>
    </row>
    <row r="22" spans="10:13" s="25" customFormat="1" ht="15.95" customHeight="1">
      <c r="J22" s="2"/>
      <c r="K22" s="2"/>
      <c r="L22" s="2"/>
      <c r="M22" s="23"/>
    </row>
    <row r="23" spans="10:13" s="25" customFormat="1" ht="15.95" customHeight="1">
      <c r="J23" s="2"/>
      <c r="K23" s="2"/>
      <c r="L23" s="2"/>
      <c r="M23" s="23"/>
    </row>
    <row r="24" spans="10:13" s="25" customFormat="1" ht="15.95" customHeight="1">
      <c r="J24" s="2"/>
      <c r="K24" s="2"/>
      <c r="L24" s="2"/>
      <c r="M24" s="23"/>
    </row>
    <row r="25" spans="10:13" s="25" customFormat="1" ht="15.95" customHeight="1">
      <c r="J25" s="2"/>
      <c r="K25" s="2"/>
      <c r="L25" s="2"/>
      <c r="M25" s="23"/>
    </row>
    <row r="26" spans="10:13" s="25" customFormat="1" ht="15.95" customHeight="1">
      <c r="J26" s="2"/>
      <c r="K26" s="2"/>
      <c r="L26" s="2"/>
      <c r="M26" s="23"/>
    </row>
    <row r="27" spans="10:13" s="25" customFormat="1" ht="15.95" customHeight="1">
      <c r="J27" s="2"/>
      <c r="K27" s="2"/>
      <c r="L27" s="2"/>
      <c r="M27" s="23"/>
    </row>
    <row r="28" spans="10:13" s="25" customFormat="1" ht="15.95" customHeight="1">
      <c r="J28" s="2"/>
      <c r="K28" s="2"/>
      <c r="L28" s="2"/>
      <c r="M28" s="23"/>
    </row>
    <row r="29" spans="10:13" s="25" customFormat="1" ht="15.95" customHeight="1">
      <c r="J29" s="2"/>
      <c r="K29" s="2"/>
      <c r="L29" s="2"/>
      <c r="M29" s="23"/>
    </row>
    <row r="30" spans="10:13" s="25" customFormat="1" ht="15.95" customHeight="1">
      <c r="J30" s="2"/>
      <c r="K30" s="2"/>
      <c r="L30" s="2"/>
      <c r="M30" s="23"/>
    </row>
    <row r="31" spans="10:13" s="25" customFormat="1" ht="15.95" customHeight="1">
      <c r="J31" s="2"/>
      <c r="K31" s="2"/>
      <c r="L31" s="2"/>
      <c r="M31" s="23"/>
    </row>
    <row r="32" spans="10:13" s="25" customFormat="1" ht="15.95" customHeight="1">
      <c r="J32" s="2"/>
      <c r="K32" s="2"/>
      <c r="L32" s="2"/>
      <c r="M32" s="23"/>
    </row>
    <row r="33" spans="10:13" s="25" customFormat="1" ht="15.95" customHeight="1">
      <c r="J33" s="2"/>
      <c r="K33" s="2"/>
      <c r="L33" s="2"/>
      <c r="M33" s="23"/>
    </row>
    <row r="34" spans="10:13" s="25" customFormat="1" ht="15.95" customHeight="1">
      <c r="J34" s="2"/>
      <c r="K34" s="2"/>
      <c r="L34" s="2"/>
      <c r="M34" s="23"/>
    </row>
    <row r="35" spans="10:13" s="25" customFormat="1" ht="15.95" customHeight="1">
      <c r="J35" s="2"/>
      <c r="K35" s="2"/>
      <c r="L35" s="2"/>
      <c r="M35" s="23"/>
    </row>
    <row r="36" spans="10:13" s="25" customFormat="1" ht="15.95" customHeight="1">
      <c r="J36" s="2"/>
      <c r="K36" s="2"/>
      <c r="L36" s="2"/>
      <c r="M36" s="23"/>
    </row>
  </sheetData>
  <mergeCells count="8">
    <mergeCell ref="G2:G3"/>
    <mergeCell ref="B4:B5"/>
    <mergeCell ref="C5:F5"/>
    <mergeCell ref="B2:B3"/>
    <mergeCell ref="C2:C3"/>
    <mergeCell ref="D2:D3"/>
    <mergeCell ref="E2:E3"/>
    <mergeCell ref="F2:F3"/>
  </mergeCells>
  <phoneticPr fontId="2" type="noConversion"/>
  <pageMargins left="0.74803149606299213" right="0.74803149606299213" top="1.08" bottom="0.78740157480314965" header="0.51181102362204722" footer="0.51181102362204722"/>
  <pageSetup paperSize="9" scale="85" orientation="landscape" horizontalDpi="4294967293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0"/>
  </sheetPr>
  <dimension ref="A1:R39"/>
  <sheetViews>
    <sheetView view="pageBreakPreview" zoomScaleSheetLayoutView="100" workbookViewId="0">
      <selection activeCell="K13" sqref="K13:K15"/>
    </sheetView>
  </sheetViews>
  <sheetFormatPr defaultRowHeight="15.95" customHeight="1"/>
  <cols>
    <col min="1" max="1" width="3.77734375" style="25" customWidth="1"/>
    <col min="2" max="2" width="19.77734375" style="25" customWidth="1"/>
    <col min="3" max="6" width="10" style="25" customWidth="1"/>
    <col min="7" max="7" width="10" style="86" customWidth="1"/>
    <col min="8" max="8" width="10" style="76" customWidth="1"/>
    <col min="9" max="9" width="10" style="25" customWidth="1"/>
    <col min="10" max="10" width="8" style="25" customWidth="1"/>
    <col min="11" max="11" width="9" style="93" customWidth="1"/>
    <col min="12" max="12" width="7.33203125" style="25" customWidth="1"/>
    <col min="13" max="13" width="13.33203125" style="2" customWidth="1"/>
    <col min="14" max="14" width="7.77734375" style="16" customWidth="1"/>
    <col min="15" max="16" width="9" style="16" bestFit="1" customWidth="1"/>
    <col min="17" max="18" width="7.77734375" style="16" customWidth="1"/>
    <col min="19" max="19" width="8.88671875" style="2"/>
    <col min="20" max="20" width="3.33203125" style="2" customWidth="1"/>
    <col min="21" max="23" width="11.88671875" style="2" customWidth="1"/>
    <col min="24" max="16384" width="8.88671875" style="2"/>
  </cols>
  <sheetData>
    <row r="1" spans="1:18" s="8" customFormat="1" ht="18.75" customHeight="1">
      <c r="A1" s="77" t="s">
        <v>224</v>
      </c>
      <c r="B1" s="78"/>
      <c r="C1" s="78"/>
      <c r="D1" s="78"/>
      <c r="E1" s="78"/>
      <c r="F1" s="78"/>
      <c r="G1" s="94"/>
      <c r="H1" s="79"/>
      <c r="I1" s="78"/>
      <c r="J1" s="78"/>
      <c r="K1" s="78"/>
      <c r="L1" s="78"/>
      <c r="N1" s="15"/>
      <c r="O1" s="15"/>
      <c r="P1" s="15"/>
      <c r="Q1" s="15"/>
      <c r="R1" s="15"/>
    </row>
    <row r="2" spans="1:18" s="8" customFormat="1" ht="9" customHeight="1">
      <c r="A2" s="77"/>
      <c r="B2" s="78"/>
      <c r="C2" s="78"/>
      <c r="D2" s="78"/>
      <c r="E2" s="78"/>
      <c r="F2" s="78"/>
      <c r="G2" s="94"/>
      <c r="H2" s="79"/>
      <c r="I2" s="78"/>
      <c r="J2" s="78"/>
      <c r="K2" s="78"/>
      <c r="L2" s="78"/>
      <c r="N2" s="15"/>
      <c r="O2" s="15"/>
      <c r="P2" s="15"/>
      <c r="Q2" s="15"/>
      <c r="R2" s="15"/>
    </row>
    <row r="3" spans="1:18" s="8" customFormat="1" ht="22.5" customHeight="1">
      <c r="A3" s="78"/>
      <c r="B3" s="95" t="s">
        <v>130</v>
      </c>
      <c r="C3" s="78"/>
      <c r="D3" s="78"/>
      <c r="E3" s="78"/>
      <c r="F3" s="78"/>
      <c r="G3" s="94"/>
      <c r="H3" s="79"/>
      <c r="I3" s="78"/>
      <c r="J3" s="78"/>
      <c r="K3" s="78"/>
      <c r="L3" s="78"/>
    </row>
    <row r="4" spans="1:18" s="4" customFormat="1" ht="28.5" customHeight="1">
      <c r="A4" s="26"/>
      <c r="B4" s="1081" t="s">
        <v>80</v>
      </c>
      <c r="C4" s="1081" t="s">
        <v>180</v>
      </c>
      <c r="D4" s="1083"/>
      <c r="E4" s="1084" t="s">
        <v>87</v>
      </c>
      <c r="F4" s="1084"/>
      <c r="G4" s="1084"/>
      <c r="H4" s="901" t="s">
        <v>101</v>
      </c>
      <c r="I4" s="1076" t="s">
        <v>372</v>
      </c>
      <c r="J4" s="1077"/>
      <c r="K4" s="1078"/>
      <c r="L4" s="1065" t="s">
        <v>81</v>
      </c>
    </row>
    <row r="5" spans="1:18" s="4" customFormat="1" ht="28.5" customHeight="1">
      <c r="A5" s="26"/>
      <c r="B5" s="1082"/>
      <c r="C5" s="386" t="s">
        <v>84</v>
      </c>
      <c r="D5" s="387" t="s">
        <v>85</v>
      </c>
      <c r="E5" s="388" t="s">
        <v>84</v>
      </c>
      <c r="F5" s="388" t="s">
        <v>85</v>
      </c>
      <c r="G5" s="389" t="s">
        <v>111</v>
      </c>
      <c r="H5" s="903"/>
      <c r="I5" s="490" t="s">
        <v>373</v>
      </c>
      <c r="J5" s="598" t="s">
        <v>182</v>
      </c>
      <c r="K5" s="401" t="s">
        <v>306</v>
      </c>
      <c r="L5" s="1065"/>
    </row>
    <row r="6" spans="1:18" s="4" customFormat="1" ht="28.5" customHeight="1">
      <c r="A6" s="26"/>
      <c r="B6" s="285" t="str">
        <f>참여업체!C6</f>
        <v>oo엔지니어링</v>
      </c>
      <c r="C6" s="291">
        <v>0</v>
      </c>
      <c r="D6" s="292">
        <v>0</v>
      </c>
      <c r="E6" s="293">
        <f>((CEILING(C6/30,1)*배점기준!$E$84))</f>
        <v>0</v>
      </c>
      <c r="F6" s="293">
        <f>(CEILING(D6/90,1)*배점기준!$E$86)</f>
        <v>0</v>
      </c>
      <c r="G6" s="294">
        <f>E6+F6</f>
        <v>0</v>
      </c>
      <c r="H6" s="286">
        <v>0.42</v>
      </c>
      <c r="I6" s="733">
        <f>부실벌점!E5</f>
        <v>0.06</v>
      </c>
      <c r="J6" s="499">
        <f>부실벌점!F5</f>
        <v>0</v>
      </c>
      <c r="K6" s="1085">
        <f>부실벌점!F22</f>
        <v>0</v>
      </c>
      <c r="L6" s="1073">
        <f>7+G6*H6+G8*H8+J6*H6+J8*H8+K6</f>
        <v>7</v>
      </c>
    </row>
    <row r="7" spans="1:18" s="4" customFormat="1" ht="28.5" customHeight="1">
      <c r="A7" s="26"/>
      <c r="B7" s="287" t="str">
        <f>참여업체!D6</f>
        <v>＊＊엔지니어링</v>
      </c>
      <c r="C7" s="656">
        <v>0</v>
      </c>
      <c r="D7" s="657">
        <v>0</v>
      </c>
      <c r="E7" s="658">
        <v>0</v>
      </c>
      <c r="F7" s="658">
        <v>0</v>
      </c>
      <c r="G7" s="659" t="s">
        <v>473</v>
      </c>
      <c r="H7" s="660">
        <v>0.33</v>
      </c>
      <c r="I7" s="734">
        <f>부실벌점!E6</f>
        <v>0.13</v>
      </c>
      <c r="J7" s="661">
        <v>0</v>
      </c>
      <c r="K7" s="1086"/>
      <c r="L7" s="1074"/>
    </row>
    <row r="8" spans="1:18" s="4" customFormat="1" ht="28.5" customHeight="1">
      <c r="A8" s="26"/>
      <c r="B8" s="605" t="str">
        <f>참여업체!E6</f>
        <v>☆☆엔지니어링</v>
      </c>
      <c r="C8" s="295">
        <v>0</v>
      </c>
      <c r="D8" s="296">
        <v>0</v>
      </c>
      <c r="E8" s="297">
        <f>((CEILING(C8/30,1)*배점기준!$E$84))</f>
        <v>0</v>
      </c>
      <c r="F8" s="297">
        <f>(CEILING(D8/90,1)*배점기준!$E$86)</f>
        <v>0</v>
      </c>
      <c r="G8" s="298">
        <f>E8+F8</f>
        <v>0</v>
      </c>
      <c r="H8" s="288">
        <v>0.25</v>
      </c>
      <c r="I8" s="664">
        <f>부실벌점!E7</f>
        <v>0.1</v>
      </c>
      <c r="J8" s="500">
        <f>부실벌점!F7</f>
        <v>0</v>
      </c>
      <c r="K8" s="1087"/>
      <c r="L8" s="1075"/>
    </row>
    <row r="9" spans="1:18" ht="12" customHeight="1">
      <c r="B9" s="93"/>
    </row>
    <row r="10" spans="1:18" ht="28.5" customHeight="1">
      <c r="B10" s="95" t="s">
        <v>198</v>
      </c>
      <c r="C10" s="95"/>
      <c r="D10" s="96"/>
      <c r="E10" s="96"/>
      <c r="F10" s="96"/>
      <c r="G10" s="96"/>
      <c r="H10" s="96"/>
      <c r="I10" s="78"/>
    </row>
    <row r="11" spans="1:18" ht="28.5" customHeight="1">
      <c r="B11" s="1081" t="s">
        <v>80</v>
      </c>
      <c r="C11" s="390" t="s">
        <v>229</v>
      </c>
      <c r="D11" s="391" t="s">
        <v>144</v>
      </c>
      <c r="E11" s="392" t="s">
        <v>145</v>
      </c>
      <c r="F11" s="390" t="s">
        <v>143</v>
      </c>
      <c r="G11" s="391" t="s">
        <v>144</v>
      </c>
      <c r="H11" s="393" t="s">
        <v>145</v>
      </c>
      <c r="I11" s="394" t="s">
        <v>199</v>
      </c>
      <c r="J11" s="901" t="s">
        <v>101</v>
      </c>
      <c r="K11" s="1071" t="s">
        <v>81</v>
      </c>
    </row>
    <row r="12" spans="1:18" ht="28.5" customHeight="1">
      <c r="B12" s="1082"/>
      <c r="C12" s="395" t="s">
        <v>99</v>
      </c>
      <c r="D12" s="396" t="s">
        <v>99</v>
      </c>
      <c r="E12" s="397" t="s">
        <v>99</v>
      </c>
      <c r="F12" s="395" t="s">
        <v>87</v>
      </c>
      <c r="G12" s="396" t="s">
        <v>87</v>
      </c>
      <c r="H12" s="398" t="s">
        <v>87</v>
      </c>
      <c r="I12" s="399" t="s">
        <v>87</v>
      </c>
      <c r="J12" s="903"/>
      <c r="K12" s="1072"/>
    </row>
    <row r="13" spans="1:18" ht="28.5" customHeight="1">
      <c r="B13" s="285" t="str">
        <f>B6</f>
        <v>oo엔지니어링</v>
      </c>
      <c r="C13" s="299" t="s">
        <v>622</v>
      </c>
      <c r="D13" s="300" t="s">
        <v>622</v>
      </c>
      <c r="E13" s="301" t="s">
        <v>159</v>
      </c>
      <c r="F13" s="735">
        <f>IF(OR(C13=C$22,C13=C$23,C13=C$24,C13=C$25,C13=C$26,C13=C$27,C13=C$28),3,IF(OR(C13=C$29,C13=C$30,C13=C$31),2.7,IF(OR(C13=C$32,C13=C$33,C13=C$34,C13=C$35,C13=C$36,C13=C$37),2.4,IF(C13=C$38,2.1,0))))</f>
        <v>0</v>
      </c>
      <c r="G13" s="736">
        <f>IF(OR(D13=D$22,D13=D$23,D13=D$24,D13=D$25),3,IF(D13=D$26,2.7,IF(OR(D13=D$27,D13=D$28,D13=D$29,D13=D$30,D13=D$31),2.4,IF(D13=D$32,2.1,0))))</f>
        <v>0</v>
      </c>
      <c r="H13" s="809">
        <f>IF(OR(E13=E$26,E13=E$27,E13=E$28,E13=E$29,E13=E$30,E13=E$31,E13=E$32,E13=E$33,E13=E$34,E13=E$35),3,IF(OR(E13=E$36,E13=E$37,E13=E$38,E13=E$39,E13=E$40,E13=E$41),2.8,IF(E13=E$42,2.1,0)))</f>
        <v>3</v>
      </c>
      <c r="I13" s="737">
        <f>MAX(F13:H13)</f>
        <v>3</v>
      </c>
      <c r="J13" s="738">
        <v>0.42</v>
      </c>
      <c r="K13" s="1079">
        <f>I13*J13+I14*J14+I15*J15</f>
        <v>3</v>
      </c>
    </row>
    <row r="14" spans="1:18" ht="28.5" customHeight="1">
      <c r="B14" s="655" t="str">
        <f>B7</f>
        <v>＊＊엔지니어링</v>
      </c>
      <c r="C14" s="665" t="s">
        <v>622</v>
      </c>
      <c r="D14" s="666" t="s">
        <v>622</v>
      </c>
      <c r="E14" s="667" t="s">
        <v>153</v>
      </c>
      <c r="F14" s="742">
        <f>IF(OR(C14=C$22,C14=C$23,C14=C$24,C14=C$25,C14=C$26,C14=C$27,C14=C$28),3,IF(OR(C14=C$29,C14=C$30,C14=C$31),2.7,IF(OR(C14=C$32,C14=C$33,C14=C$34,C14=C$35,C14=C$36,C14=C$37),2.4,IF(C14=C$38,2.1,0))))</f>
        <v>0</v>
      </c>
      <c r="G14" s="743">
        <f>IF(OR(D14=D$22,D14=D$23,D14=D$24,D14=D$25),3,IF(D14=D$26,2.7,IF(OR(D14=D$27,D14=D$28,D14=D$29,D14=D$30,D14=D$31),2.4,IF(D14=D$32,2.1,0))))</f>
        <v>0</v>
      </c>
      <c r="H14" s="810">
        <f>IF(OR(E14=E$26,E14=E$27,E14=E$28,E14=E$29,E14=E$30,E14=E$31,E14=E$32,E14=E$33,E14=E$34,E14=E$35),3,IF(OR(E14=E$36,E14=E$37,E14=E$38,E14=E$39,E14=E$40,E14=E$41),2.8,IF(E14=E$42,2.1,0)))</f>
        <v>3</v>
      </c>
      <c r="I14" s="744">
        <f>MAX(F14:H14)</f>
        <v>3</v>
      </c>
      <c r="J14" s="745">
        <v>0.33</v>
      </c>
      <c r="K14" s="1074"/>
    </row>
    <row r="15" spans="1:18" ht="28.5" customHeight="1">
      <c r="B15" s="605" t="str">
        <f>B8</f>
        <v>☆☆엔지니어링</v>
      </c>
      <c r="C15" s="302" t="s">
        <v>622</v>
      </c>
      <c r="D15" s="303" t="s">
        <v>622</v>
      </c>
      <c r="E15" s="304" t="s">
        <v>155</v>
      </c>
      <c r="F15" s="739">
        <f>IF(OR(C15=C$22,C15=C$23,C15=C$24,C15=C$25,C15=C$26,C15=C$27,C15=C$28),3,IF(OR(C15=C$29,C15=C$30,C15=C$31),2.7,IF(OR(C15=C$32,C15=C$33,C15=C$34,C15=C$35,C15=C$36,C15=C$37),2.4,IF(C15=C$38,2.1,0))))</f>
        <v>0</v>
      </c>
      <c r="G15" s="740">
        <f>IF(OR(D15=D$22,D15=D$23,D15=D$24,D15=D$25),3,IF(D15=D$26,2.7,IF(OR(D15=D$27,D15=D$28,D15=D$29,D15=D$30,D15=D$31),2.4,IF(D15=D$32,2.1,0))))</f>
        <v>0</v>
      </c>
      <c r="H15" s="811">
        <f>IF(OR(E15=E$26,E15=E$27,E15=E$28,E15=E$29,E15=E$30,E15=E$31,E15=E$32,E15=E$33,E15=E$34,E15=E$35),3,IF(OR(E15=E$36,E15=E$37,E15=E$38,E15=E$39,E15=E$40,E15=E$41),2.8,IF(E15=E$42,2.1,0)))</f>
        <v>3</v>
      </c>
      <c r="I15" s="741">
        <f>MAX(F15:H15)</f>
        <v>3</v>
      </c>
      <c r="J15" s="288">
        <v>0.25</v>
      </c>
      <c r="K15" s="1080"/>
    </row>
    <row r="16" spans="1:18" ht="11.25" customHeight="1"/>
    <row r="17" spans="1:14" s="127" customFormat="1" ht="15" customHeight="1">
      <c r="A17" s="157" t="s">
        <v>228</v>
      </c>
      <c r="B17" s="157" t="s">
        <v>230</v>
      </c>
      <c r="C17" s="144"/>
      <c r="D17" s="128"/>
      <c r="E17" s="128"/>
      <c r="F17" s="128"/>
      <c r="G17" s="128"/>
      <c r="H17" s="128"/>
      <c r="I17" s="128"/>
      <c r="J17" s="128"/>
      <c r="K17" s="129"/>
      <c r="L17" s="130"/>
      <c r="M17" s="130"/>
      <c r="N17" s="130"/>
    </row>
    <row r="18" spans="1:14" ht="15.95" customHeight="1">
      <c r="A18" s="157" t="s">
        <v>231</v>
      </c>
      <c r="B18" s="157" t="s">
        <v>79</v>
      </c>
    </row>
    <row r="19" spans="1:14" ht="15.95" customHeight="1">
      <c r="A19" s="157" t="s">
        <v>233</v>
      </c>
      <c r="B19" s="157" t="s">
        <v>234</v>
      </c>
    </row>
    <row r="20" spans="1:14" ht="15.95" customHeight="1" thickBot="1"/>
    <row r="21" spans="1:14" ht="15.95" customHeight="1">
      <c r="C21" s="98" t="s">
        <v>143</v>
      </c>
      <c r="D21" s="99" t="s">
        <v>144</v>
      </c>
      <c r="E21" s="100" t="s">
        <v>145</v>
      </c>
    </row>
    <row r="22" spans="1:14" ht="15.95" customHeight="1">
      <c r="C22" s="101" t="s">
        <v>146</v>
      </c>
      <c r="D22" s="97" t="s">
        <v>147</v>
      </c>
      <c r="E22" s="102" t="s">
        <v>146</v>
      </c>
    </row>
    <row r="23" spans="1:14" ht="15.95" customHeight="1">
      <c r="C23" s="101" t="s">
        <v>166</v>
      </c>
      <c r="D23" s="97" t="s">
        <v>148</v>
      </c>
      <c r="E23" s="102" t="s">
        <v>166</v>
      </c>
    </row>
    <row r="24" spans="1:14" ht="15.95" customHeight="1">
      <c r="C24" s="101" t="s">
        <v>167</v>
      </c>
      <c r="D24" s="97" t="s">
        <v>149</v>
      </c>
      <c r="E24" s="102" t="s">
        <v>167</v>
      </c>
    </row>
    <row r="25" spans="1:14" ht="15.95" customHeight="1">
      <c r="C25" s="101" t="s">
        <v>168</v>
      </c>
      <c r="D25" s="97" t="s">
        <v>150</v>
      </c>
      <c r="E25" s="102" t="s">
        <v>168</v>
      </c>
    </row>
    <row r="26" spans="1:14" ht="15.95" customHeight="1">
      <c r="C26" s="101" t="s">
        <v>151</v>
      </c>
      <c r="D26" s="97" t="s">
        <v>152</v>
      </c>
      <c r="E26" s="102" t="s">
        <v>151</v>
      </c>
    </row>
    <row r="27" spans="1:14" ht="15.95" customHeight="1">
      <c r="C27" s="101" t="s">
        <v>153</v>
      </c>
      <c r="D27" s="97" t="s">
        <v>154</v>
      </c>
      <c r="E27" s="102" t="s">
        <v>153</v>
      </c>
    </row>
    <row r="28" spans="1:14" ht="15.95" customHeight="1">
      <c r="C28" s="101" t="s">
        <v>155</v>
      </c>
      <c r="D28" s="97" t="s">
        <v>156</v>
      </c>
      <c r="E28" s="102" t="s">
        <v>155</v>
      </c>
    </row>
    <row r="29" spans="1:14" ht="15.95" customHeight="1">
      <c r="C29" s="101" t="s">
        <v>157</v>
      </c>
      <c r="D29" s="97" t="s">
        <v>158</v>
      </c>
      <c r="E29" s="102" t="s">
        <v>157</v>
      </c>
    </row>
    <row r="30" spans="1:14" ht="15.95" customHeight="1">
      <c r="C30" s="101" t="s">
        <v>159</v>
      </c>
      <c r="D30" s="97" t="s">
        <v>160</v>
      </c>
      <c r="E30" s="102" t="s">
        <v>159</v>
      </c>
    </row>
    <row r="31" spans="1:14" ht="15.95" customHeight="1">
      <c r="C31" s="101" t="s">
        <v>161</v>
      </c>
      <c r="D31" s="97" t="s">
        <v>162</v>
      </c>
      <c r="E31" s="102" t="s">
        <v>161</v>
      </c>
    </row>
    <row r="32" spans="1:14" ht="15.95" customHeight="1">
      <c r="C32" s="101" t="s">
        <v>169</v>
      </c>
      <c r="D32" s="97" t="s">
        <v>163</v>
      </c>
      <c r="E32" s="102" t="s">
        <v>169</v>
      </c>
    </row>
    <row r="33" spans="3:5" ht="15.95" customHeight="1">
      <c r="C33" s="101" t="s">
        <v>170</v>
      </c>
      <c r="D33" s="97" t="s">
        <v>132</v>
      </c>
      <c r="E33" s="102" t="s">
        <v>170</v>
      </c>
    </row>
    <row r="34" spans="3:5" ht="15.95" customHeight="1">
      <c r="C34" s="101" t="s">
        <v>164</v>
      </c>
      <c r="D34" s="97"/>
      <c r="E34" s="102" t="s">
        <v>164</v>
      </c>
    </row>
    <row r="35" spans="3:5" ht="15.95" customHeight="1">
      <c r="C35" s="101" t="s">
        <v>171</v>
      </c>
      <c r="D35" s="97"/>
      <c r="E35" s="102" t="s">
        <v>171</v>
      </c>
    </row>
    <row r="36" spans="3:5" ht="15.95" customHeight="1">
      <c r="C36" s="101" t="s">
        <v>172</v>
      </c>
      <c r="D36" s="97"/>
      <c r="E36" s="102" t="s">
        <v>172</v>
      </c>
    </row>
    <row r="37" spans="3:5" ht="15.95" customHeight="1">
      <c r="C37" s="101" t="s">
        <v>173</v>
      </c>
      <c r="D37" s="97"/>
      <c r="E37" s="102" t="s">
        <v>173</v>
      </c>
    </row>
    <row r="38" spans="3:5" ht="15.95" customHeight="1">
      <c r="C38" s="101" t="s">
        <v>165</v>
      </c>
      <c r="D38" s="97"/>
      <c r="E38" s="102" t="s">
        <v>165</v>
      </c>
    </row>
    <row r="39" spans="3:5" ht="15.95" customHeight="1" thickBot="1">
      <c r="C39" s="103" t="s">
        <v>132</v>
      </c>
      <c r="D39" s="104"/>
      <c r="E39" s="105" t="s">
        <v>132</v>
      </c>
    </row>
  </sheetData>
  <protectedRanges>
    <protectedRange password="CF2F" sqref="C13:E15 C6:D8" name="범위1"/>
    <protectedRange password="CF2F" sqref="I6:I8" name="범위2"/>
    <protectedRange password="CF2F" sqref="I6:I8" name="범위1_1"/>
  </protectedRanges>
  <mergeCells count="12">
    <mergeCell ref="K13:K15"/>
    <mergeCell ref="B11:B12"/>
    <mergeCell ref="B4:B5"/>
    <mergeCell ref="C4:D4"/>
    <mergeCell ref="E4:G4"/>
    <mergeCell ref="K6:K8"/>
    <mergeCell ref="L4:L5"/>
    <mergeCell ref="H4:H5"/>
    <mergeCell ref="J11:J12"/>
    <mergeCell ref="K11:K12"/>
    <mergeCell ref="L6:L8"/>
    <mergeCell ref="I4:K4"/>
  </mergeCells>
  <phoneticPr fontId="2" type="noConversion"/>
  <dataValidations disablePrompts="1" count="3">
    <dataValidation type="list" allowBlank="1" showInputMessage="1" showErrorMessage="1" sqref="D13:D15">
      <formula1>$D$22:$D$33</formula1>
    </dataValidation>
    <dataValidation type="list" allowBlank="1" showInputMessage="1" showErrorMessage="1" sqref="E13:E15">
      <formula1>$E$22:$E$39</formula1>
    </dataValidation>
    <dataValidation type="list" allowBlank="1" showInputMessage="1" showErrorMessage="1" sqref="C13:C15">
      <formula1>$C$22:$C$39</formula1>
    </dataValidation>
  </dataValidations>
  <pageMargins left="0.74803149606299213" right="0.7" top="1.03" bottom="0.98425196850393704" header="0.51181102362204722" footer="0.51181102362204722"/>
  <pageSetup paperSize="9" scale="94" orientation="landscape" horizontalDpi="4294967293" r:id="rId1"/>
  <headerFooter alignWithMargins="0"/>
  <colBreaks count="1" manualBreakCount="1">
    <brk id="12" max="1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3"/>
  </sheetPr>
  <dimension ref="A1:Q118"/>
  <sheetViews>
    <sheetView view="pageBreakPreview" zoomScale="85" zoomScaleNormal="55" zoomScaleSheetLayoutView="70" workbookViewId="0">
      <selection activeCell="C5" sqref="C5"/>
    </sheetView>
  </sheetViews>
  <sheetFormatPr defaultRowHeight="15.95" customHeight="1"/>
  <cols>
    <col min="1" max="1" width="5.109375" style="25" customWidth="1"/>
    <col min="2" max="2" width="20.6640625" style="25" customWidth="1"/>
    <col min="3" max="3" width="15.5546875" style="25" customWidth="1"/>
    <col min="4" max="4" width="39.44140625" style="25" customWidth="1"/>
    <col min="5" max="5" width="16.6640625" style="25" customWidth="1"/>
    <col min="6" max="6" width="12.44140625" style="25" customWidth="1"/>
    <col min="7" max="7" width="11.6640625" style="25" customWidth="1"/>
    <col min="8" max="8" width="5.6640625" style="25" bestFit="1" customWidth="1"/>
    <col min="9" max="9" width="20.33203125" style="25" customWidth="1"/>
    <col min="10" max="10" width="17.33203125" style="25" customWidth="1"/>
    <col min="11" max="12" width="8" style="25" bestFit="1" customWidth="1"/>
    <col min="13" max="13" width="14" style="25" customWidth="1"/>
    <col min="14" max="14" width="8.109375" style="25" customWidth="1"/>
    <col min="15" max="15" width="12.77734375" style="25" customWidth="1"/>
    <col min="16" max="16" width="8.33203125" style="2" customWidth="1"/>
    <col min="17" max="17" width="7.88671875" style="19" customWidth="1"/>
    <col min="18" max="18" width="6.33203125" style="2" bestFit="1" customWidth="1"/>
    <col min="19" max="19" width="8.77734375" style="2" customWidth="1"/>
    <col min="20" max="20" width="6.33203125" style="2" bestFit="1" customWidth="1"/>
    <col min="21" max="21" width="8.5546875" style="2" customWidth="1"/>
    <col min="22" max="22" width="7.5546875" style="2" bestFit="1" customWidth="1"/>
    <col min="23" max="23" width="6" style="2" customWidth="1"/>
    <col min="24" max="24" width="9.44140625" style="2" customWidth="1"/>
    <col min="25" max="25" width="4" style="2" customWidth="1"/>
    <col min="26" max="26" width="7.77734375" style="2" customWidth="1"/>
    <col min="27" max="16384" width="8.88671875" style="2"/>
  </cols>
  <sheetData>
    <row r="1" spans="1:8" s="242" customFormat="1" ht="28.5" customHeight="1">
      <c r="A1" s="240"/>
      <c r="B1" s="106" t="s">
        <v>308</v>
      </c>
      <c r="C1" s="173"/>
      <c r="D1" s="173"/>
      <c r="E1" s="173"/>
      <c r="F1" s="173"/>
      <c r="H1" s="243"/>
    </row>
    <row r="2" spans="1:8" s="242" customFormat="1" ht="8.25" customHeight="1">
      <c r="A2" s="240"/>
      <c r="B2" s="112"/>
      <c r="C2" s="173"/>
      <c r="D2" s="173"/>
      <c r="E2" s="173"/>
      <c r="F2" s="173"/>
      <c r="H2" s="243"/>
    </row>
    <row r="3" spans="1:8" s="242" customFormat="1" ht="27.75" customHeight="1" thickBot="1">
      <c r="A3" s="241"/>
      <c r="B3" s="112" t="s">
        <v>309</v>
      </c>
      <c r="C3" s="241"/>
      <c r="D3" s="241"/>
      <c r="E3" s="241"/>
      <c r="F3" s="241"/>
      <c r="H3" s="243"/>
    </row>
    <row r="4" spans="1:8" s="245" customFormat="1" ht="30" customHeight="1">
      <c r="A4" s="244"/>
      <c r="B4" s="409" t="s">
        <v>80</v>
      </c>
      <c r="C4" s="410" t="s">
        <v>101</v>
      </c>
      <c r="D4" s="410" t="s">
        <v>22</v>
      </c>
      <c r="E4" s="410" t="s">
        <v>83</v>
      </c>
      <c r="F4" s="411" t="s">
        <v>81</v>
      </c>
      <c r="H4" s="246"/>
    </row>
    <row r="5" spans="1:8" s="245" customFormat="1" ht="30" customHeight="1">
      <c r="A5" s="244"/>
      <c r="B5" s="638" t="str">
        <f>신용도!B13</f>
        <v>oo엔지니어링</v>
      </c>
      <c r="C5" s="639">
        <v>0.42</v>
      </c>
      <c r="D5" s="662" t="s">
        <v>451</v>
      </c>
      <c r="E5" s="640">
        <v>0.06</v>
      </c>
      <c r="F5" s="641">
        <f>IF(E5&gt;=20,배점기준!$J$88,IF(E5&gt;=15,배점기준!$I$88,IF(E5&gt;=10,배점기준!$H$88,IF(E5&gt;=5,배점기준!$G$88,IF(E5&gt;=2,배점기준!$F$88,IF(E5&gt;=1,배점기준!$E$88,0))))))*-1</f>
        <v>0</v>
      </c>
      <c r="H5" s="246"/>
    </row>
    <row r="6" spans="1:8" s="245" customFormat="1" ht="30" customHeight="1">
      <c r="A6" s="244"/>
      <c r="B6" s="642" t="str">
        <f>신용도!B14</f>
        <v>＊＊엔지니어링</v>
      </c>
      <c r="C6" s="643">
        <v>0.33</v>
      </c>
      <c r="D6" s="663" t="s">
        <v>451</v>
      </c>
      <c r="E6" s="644">
        <v>0.13</v>
      </c>
      <c r="F6" s="645">
        <v>0</v>
      </c>
      <c r="H6" s="246"/>
    </row>
    <row r="7" spans="1:8" s="245" customFormat="1" ht="30" customHeight="1" thickBot="1">
      <c r="A7" s="244"/>
      <c r="B7" s="612" t="str">
        <f>신용도!B8</f>
        <v>☆☆엔지니어링</v>
      </c>
      <c r="C7" s="613">
        <v>0.25</v>
      </c>
      <c r="D7" s="614" t="s">
        <v>452</v>
      </c>
      <c r="E7" s="646">
        <v>0.1</v>
      </c>
      <c r="F7" s="615">
        <f>IF(E7&gt;=20,배점기준!$J$88,IF(E7&gt;=15,배점기준!$I$88,IF(E7&gt;=10,배점기준!$H$88,IF(E7&gt;=5,배점기준!$G$88,IF(E7&gt;=2,배점기준!$F$88,IF(E7&gt;=1,배점기준!$E$88,0))))))*-1</f>
        <v>0</v>
      </c>
      <c r="H7" s="246"/>
    </row>
    <row r="8" spans="1:8" s="245" customFormat="1" ht="9.75" customHeight="1">
      <c r="A8" s="244"/>
      <c r="B8" s="412"/>
      <c r="C8" s="412"/>
      <c r="D8" s="412"/>
      <c r="E8" s="412"/>
      <c r="F8" s="412"/>
      <c r="H8" s="246"/>
    </row>
    <row r="9" spans="1:8" s="242" customFormat="1" ht="23.25" customHeight="1" thickBot="1">
      <c r="A9" s="241"/>
      <c r="B9" s="413" t="s">
        <v>23</v>
      </c>
      <c r="C9" s="414"/>
      <c r="D9" s="414"/>
      <c r="E9" s="414"/>
      <c r="F9" s="414"/>
      <c r="H9" s="243"/>
    </row>
    <row r="10" spans="1:8" s="245" customFormat="1" ht="22.5" customHeight="1">
      <c r="A10" s="244"/>
      <c r="B10" s="415" t="s">
        <v>21</v>
      </c>
      <c r="C10" s="416" t="s">
        <v>24</v>
      </c>
      <c r="D10" s="416" t="s">
        <v>22</v>
      </c>
      <c r="E10" s="417" t="s">
        <v>83</v>
      </c>
      <c r="F10" s="418" t="s">
        <v>81</v>
      </c>
      <c r="H10" s="246"/>
    </row>
    <row r="11" spans="1:8" s="245" customFormat="1" ht="19.5" customHeight="1">
      <c r="A11" s="244"/>
      <c r="B11" s="406" t="s">
        <v>635</v>
      </c>
      <c r="C11" s="504"/>
      <c r="D11" s="526" t="s">
        <v>498</v>
      </c>
      <c r="E11" s="527">
        <v>0</v>
      </c>
      <c r="F11" s="511">
        <f>IF(E11&gt;=20,배점기준!$J$88,IF(E11&gt;=15,배점기준!$I$88,IF(E11&gt;=10,배점기준!$H$88,IF(E11&gt;=5,배점기준!$G$88,IF(E11&gt;=2,배점기준!$F$88,IF(E11&gt;=1,배점기준!$E$88,0))))))*-1</f>
        <v>0</v>
      </c>
      <c r="H11" s="246"/>
    </row>
    <row r="12" spans="1:8" s="245" customFormat="1" ht="19.5" customHeight="1">
      <c r="A12" s="244"/>
      <c r="B12" s="406" t="s">
        <v>633</v>
      </c>
      <c r="C12" s="504"/>
      <c r="D12" s="526" t="s">
        <v>561</v>
      </c>
      <c r="E12" s="527">
        <v>0</v>
      </c>
      <c r="F12" s="511">
        <f>IF(E12&gt;=20,배점기준!$J$88,IF(E12&gt;=15,배점기준!$I$88,IF(E12&gt;=10,배점기준!$H$88,IF(E12&gt;=5,배점기준!$G$88,IF(E12&gt;=2,배점기준!$F$88,IF(E12&gt;=1,배점기준!$E$88,0))))))*-1</f>
        <v>0</v>
      </c>
      <c r="H12" s="246"/>
    </row>
    <row r="13" spans="1:8" s="245" customFormat="1" ht="19.5" customHeight="1">
      <c r="A13" s="244"/>
      <c r="B13" s="406" t="s">
        <v>11</v>
      </c>
      <c r="C13" s="504"/>
      <c r="D13" s="526" t="s">
        <v>498</v>
      </c>
      <c r="E13" s="527">
        <v>0</v>
      </c>
      <c r="F13" s="511">
        <f>IF(E13&gt;=20,배점기준!$J$88,IF(E13&gt;=15,배점기준!$I$88,IF(E13&gt;=10,배점기준!$H$88,IF(E13&gt;=5,배점기준!$G$88,IF(E13&gt;=2,배점기준!$F$88,IF(E13&gt;=1,배점기준!$E$88,0))))))*-1</f>
        <v>0</v>
      </c>
      <c r="H13" s="246"/>
    </row>
    <row r="14" spans="1:8" s="245" customFormat="1" ht="19.5" customHeight="1">
      <c r="A14" s="244"/>
      <c r="B14" s="406" t="s">
        <v>12</v>
      </c>
      <c r="C14" s="504"/>
      <c r="D14" s="526" t="s">
        <v>498</v>
      </c>
      <c r="E14" s="527">
        <v>0</v>
      </c>
      <c r="F14" s="511">
        <f>IF(E14&gt;=20,배점기준!$J$88,IF(E14&gt;=15,배점기준!$I$88,IF(E14&gt;=10,배점기준!$H$88,IF(E14&gt;=5,배점기준!$G$88,IF(E14&gt;=2,배점기준!$F$88,IF(E14&gt;=1,배점기준!$E$88,0))))))*-1</f>
        <v>0</v>
      </c>
      <c r="H14" s="246"/>
    </row>
    <row r="15" spans="1:8" s="245" customFormat="1" ht="19.5" customHeight="1">
      <c r="A15" s="244"/>
      <c r="B15" s="406" t="s">
        <v>13</v>
      </c>
      <c r="C15" s="504"/>
      <c r="D15" s="526" t="s">
        <v>498</v>
      </c>
      <c r="E15" s="527">
        <v>0</v>
      </c>
      <c r="F15" s="511">
        <f>IF(E15&gt;=20,배점기준!$J$88,IF(E15&gt;=15,배점기준!$I$88,IF(E15&gt;=10,배점기준!$H$88,IF(E15&gt;=5,배점기준!$G$88,IF(E15&gt;=2,배점기준!$F$88,IF(E15&gt;=1,배점기준!$E$88,0))))))*-1</f>
        <v>0</v>
      </c>
      <c r="H15" s="246"/>
    </row>
    <row r="16" spans="1:8" s="245" customFormat="1" ht="19.5" customHeight="1">
      <c r="A16" s="244"/>
      <c r="B16" s="406" t="s">
        <v>14</v>
      </c>
      <c r="C16" s="504"/>
      <c r="D16" s="526" t="s">
        <v>498</v>
      </c>
      <c r="E16" s="527">
        <v>0</v>
      </c>
      <c r="F16" s="511">
        <f>IF(E16&gt;=20,배점기준!$J$88,IF(E16&gt;=15,배점기준!$I$88,IF(E16&gt;=10,배점기준!$H$88,IF(E16&gt;=5,배점기준!$G$88,IF(E16&gt;=2,배점기준!$F$88,IF(E16&gt;=1,배점기준!$E$88,0))))))*-1</f>
        <v>0</v>
      </c>
      <c r="H16" s="246"/>
    </row>
    <row r="17" spans="1:8" s="245" customFormat="1" ht="19.5" customHeight="1">
      <c r="A17" s="244"/>
      <c r="B17" s="407" t="s">
        <v>15</v>
      </c>
      <c r="C17" s="504"/>
      <c r="D17" s="526" t="s">
        <v>498</v>
      </c>
      <c r="E17" s="527">
        <v>0</v>
      </c>
      <c r="F17" s="511">
        <f>IF(E17&gt;=20,배점기준!$J$88,IF(E17&gt;=15,배점기준!$I$88,IF(E17&gt;=10,배점기준!$H$88,IF(E17&gt;=5,배점기준!$G$88,IF(E17&gt;=2,배점기준!$F$88,IF(E17&gt;=1,배점기준!$E$88,0))))))*-1</f>
        <v>0</v>
      </c>
      <c r="H17" s="246"/>
    </row>
    <row r="18" spans="1:8" s="245" customFormat="1" ht="19.5" customHeight="1">
      <c r="A18" s="244"/>
      <c r="B18" s="406" t="s">
        <v>16</v>
      </c>
      <c r="C18" s="504"/>
      <c r="D18" s="526" t="s">
        <v>498</v>
      </c>
      <c r="E18" s="527">
        <v>0</v>
      </c>
      <c r="F18" s="511">
        <f>IF(E18&gt;=20,배점기준!$J$88,IF(E18&gt;=15,배점기준!$I$88,IF(E18&gt;=10,배점기준!$H$88,IF(E18&gt;=5,배점기준!$G$88,IF(E18&gt;=2,배점기준!$F$88,IF(E18&gt;=1,배점기준!$E$88,0))))))*-1</f>
        <v>0</v>
      </c>
      <c r="H18" s="246"/>
    </row>
    <row r="19" spans="1:8" s="245" customFormat="1" ht="19.5" customHeight="1">
      <c r="A19" s="244"/>
      <c r="B19" s="563" t="s">
        <v>18</v>
      </c>
      <c r="C19" s="504"/>
      <c r="D19" s="526" t="s">
        <v>498</v>
      </c>
      <c r="E19" s="527">
        <v>0</v>
      </c>
      <c r="F19" s="511">
        <f>IF(E19&gt;=20,배점기준!$J$88,IF(E19&gt;=15,배점기준!$I$88,IF(E19&gt;=10,배점기준!$H$88,IF(E19&gt;=5,배점기준!$G$88,IF(E19&gt;=2,배점기준!$F$88,IF(E19&gt;=1,배점기준!$E$88,0))))))*-1</f>
        <v>0</v>
      </c>
      <c r="H19" s="246"/>
    </row>
    <row r="20" spans="1:8" s="245" customFormat="1" ht="19.5" customHeight="1">
      <c r="A20" s="244"/>
      <c r="B20" s="406" t="s">
        <v>17</v>
      </c>
      <c r="C20" s="504"/>
      <c r="D20" s="526" t="s">
        <v>498</v>
      </c>
      <c r="E20" s="527">
        <v>0</v>
      </c>
      <c r="F20" s="511">
        <f>IF(E20&gt;=20,배점기준!$J$88,IF(E20&gt;=15,배점기준!$I$88,IF(E20&gt;=10,배점기준!$H$88,IF(E20&gt;=5,배점기준!$G$88,IF(E20&gt;=2,배점기준!$F$88,IF(E20&gt;=1,배점기준!$E$88,0))))))*-1</f>
        <v>0</v>
      </c>
      <c r="H20" s="246"/>
    </row>
    <row r="21" spans="1:8" s="245" customFormat="1" ht="19.5" customHeight="1">
      <c r="A21" s="244"/>
      <c r="B21" s="406" t="s">
        <v>638</v>
      </c>
      <c r="C21" s="504"/>
      <c r="D21" s="526" t="s">
        <v>498</v>
      </c>
      <c r="E21" s="527">
        <v>0</v>
      </c>
      <c r="F21" s="511">
        <f>IF(E21&gt;=20,배점기준!$J$88,IF(E21&gt;=15,배점기준!$I$88,IF(E21&gt;=10,배점기준!$H$88,IF(E21&gt;=5,배점기준!$G$88,IF(E21&gt;=2,배점기준!$F$88,IF(E21&gt;=1,배점기준!$E$88,0))))))*-1</f>
        <v>0</v>
      </c>
      <c r="H21" s="246"/>
    </row>
    <row r="22" spans="1:8" s="242" customFormat="1" ht="22.5" customHeight="1" thickBot="1">
      <c r="A22" s="240"/>
      <c r="B22" s="419" t="s">
        <v>275</v>
      </c>
      <c r="C22" s="420"/>
      <c r="D22" s="421"/>
      <c r="E22" s="422"/>
      <c r="F22" s="509">
        <f>SUM(F11:F21)</f>
        <v>0</v>
      </c>
      <c r="H22" s="243"/>
    </row>
    <row r="23" spans="1:8" s="242" customFormat="1" ht="10.5">
      <c r="A23" s="241"/>
      <c r="B23" s="241"/>
      <c r="C23" s="241"/>
      <c r="D23" s="241"/>
      <c r="E23" s="241"/>
      <c r="F23" s="241"/>
      <c r="H23" s="243"/>
    </row>
    <row r="24" spans="1:8" s="242" customFormat="1" ht="15.95" customHeight="1">
      <c r="A24" s="241"/>
      <c r="B24" s="241"/>
      <c r="C24" s="241"/>
      <c r="D24" s="241"/>
      <c r="E24" s="241"/>
      <c r="F24" s="241"/>
      <c r="H24" s="243"/>
    </row>
    <row r="25" spans="1:8" s="242" customFormat="1" ht="15.95" customHeight="1">
      <c r="A25" s="241"/>
      <c r="B25" s="241"/>
      <c r="C25" s="241"/>
      <c r="D25" s="241"/>
      <c r="E25" s="241"/>
      <c r="F25" s="241"/>
      <c r="H25" s="243"/>
    </row>
    <row r="26" spans="1:8" s="242" customFormat="1" ht="15.95" customHeight="1">
      <c r="A26" s="241"/>
      <c r="B26" s="241"/>
      <c r="C26" s="241"/>
      <c r="D26" s="241"/>
      <c r="E26" s="241"/>
      <c r="F26" s="241"/>
      <c r="H26" s="243"/>
    </row>
    <row r="27" spans="1:8" s="242" customFormat="1" ht="10.5">
      <c r="A27" s="241"/>
      <c r="B27" s="241"/>
      <c r="C27" s="241"/>
      <c r="D27" s="241"/>
      <c r="E27" s="241"/>
      <c r="F27" s="241"/>
      <c r="H27" s="243"/>
    </row>
    <row r="28" spans="1:8" s="242" customFormat="1" ht="15.95" customHeight="1">
      <c r="A28" s="241"/>
      <c r="B28" s="241"/>
      <c r="C28" s="241"/>
      <c r="D28" s="241"/>
      <c r="E28" s="241"/>
      <c r="F28" s="241"/>
      <c r="H28" s="243"/>
    </row>
    <row r="29" spans="1:8" s="242" customFormat="1" ht="15.95" customHeight="1">
      <c r="A29" s="241"/>
      <c r="B29" s="241"/>
      <c r="C29" s="241"/>
      <c r="D29" s="241"/>
      <c r="E29" s="241"/>
      <c r="F29" s="241"/>
      <c r="H29" s="243"/>
    </row>
    <row r="30" spans="1:8" s="242" customFormat="1" ht="15.95" customHeight="1">
      <c r="A30" s="241"/>
      <c r="B30" s="241"/>
      <c r="C30" s="241"/>
      <c r="D30" s="241"/>
      <c r="E30" s="241"/>
      <c r="F30" s="241"/>
      <c r="H30" s="243"/>
    </row>
    <row r="31" spans="1:8" s="242" customFormat="1" ht="15.95" customHeight="1">
      <c r="A31" s="241"/>
      <c r="B31" s="241"/>
      <c r="C31" s="241"/>
      <c r="D31" s="241"/>
      <c r="E31" s="241"/>
      <c r="F31" s="241"/>
      <c r="H31" s="243"/>
    </row>
    <row r="32" spans="1:8" s="242" customFormat="1" ht="15.95" customHeight="1">
      <c r="A32" s="241"/>
      <c r="B32" s="241"/>
      <c r="C32" s="241"/>
      <c r="D32" s="241"/>
      <c r="E32" s="241"/>
      <c r="F32" s="241"/>
      <c r="H32" s="243"/>
    </row>
    <row r="33" spans="1:8" s="242" customFormat="1" ht="15.95" customHeight="1">
      <c r="A33" s="241"/>
      <c r="B33" s="241"/>
      <c r="C33" s="241"/>
      <c r="D33" s="241"/>
      <c r="E33" s="241"/>
      <c r="F33" s="241"/>
      <c r="H33" s="243"/>
    </row>
    <row r="34" spans="1:8" s="242" customFormat="1" ht="15.95" customHeight="1">
      <c r="A34" s="241"/>
      <c r="B34" s="241"/>
      <c r="C34" s="241"/>
      <c r="D34" s="241"/>
      <c r="E34" s="241"/>
      <c r="F34" s="241"/>
      <c r="H34" s="243"/>
    </row>
    <row r="35" spans="1:8" s="242" customFormat="1" ht="10.5">
      <c r="A35" s="241"/>
      <c r="B35" s="241"/>
      <c r="C35" s="241"/>
      <c r="D35" s="241"/>
      <c r="E35" s="241"/>
      <c r="F35" s="241"/>
      <c r="H35" s="243"/>
    </row>
    <row r="36" spans="1:8" s="242" customFormat="1" ht="15.95" customHeight="1">
      <c r="A36" s="241"/>
      <c r="B36" s="241"/>
      <c r="C36" s="241"/>
      <c r="D36" s="241"/>
      <c r="E36" s="241"/>
      <c r="F36" s="241"/>
      <c r="H36" s="243"/>
    </row>
    <row r="37" spans="1:8" s="242" customFormat="1" ht="15.95" customHeight="1">
      <c r="A37" s="241"/>
      <c r="B37" s="241"/>
      <c r="C37" s="241"/>
      <c r="D37" s="241"/>
      <c r="E37" s="241"/>
      <c r="F37" s="241"/>
      <c r="H37" s="243"/>
    </row>
    <row r="38" spans="1:8" s="242" customFormat="1" ht="15.95" customHeight="1">
      <c r="A38" s="241"/>
      <c r="B38" s="241"/>
      <c r="C38" s="241"/>
      <c r="D38" s="241"/>
      <c r="E38" s="241"/>
      <c r="F38" s="241"/>
      <c r="H38" s="243"/>
    </row>
    <row r="39" spans="1:8" s="242" customFormat="1" ht="15.95" customHeight="1">
      <c r="A39" s="241"/>
      <c r="B39" s="241"/>
      <c r="C39" s="241"/>
      <c r="D39" s="241"/>
      <c r="E39" s="241"/>
      <c r="F39" s="241"/>
      <c r="H39" s="243"/>
    </row>
    <row r="40" spans="1:8" s="242" customFormat="1" ht="15.95" customHeight="1">
      <c r="A40" s="241"/>
      <c r="B40" s="241"/>
      <c r="C40" s="241"/>
      <c r="D40" s="241"/>
      <c r="E40" s="241"/>
      <c r="F40" s="241"/>
      <c r="H40" s="243"/>
    </row>
    <row r="41" spans="1:8" s="242" customFormat="1" ht="15.95" customHeight="1">
      <c r="A41" s="241"/>
      <c r="B41" s="241"/>
      <c r="C41" s="241"/>
      <c r="D41" s="241"/>
      <c r="E41" s="241"/>
      <c r="F41" s="241"/>
      <c r="H41" s="243"/>
    </row>
    <row r="42" spans="1:8" s="242" customFormat="1" ht="15.95" customHeight="1">
      <c r="A42" s="241"/>
      <c r="B42" s="241"/>
      <c r="C42" s="241"/>
      <c r="D42" s="241"/>
      <c r="E42" s="241"/>
      <c r="F42" s="241"/>
      <c r="H42" s="243"/>
    </row>
    <row r="43" spans="1:8" s="242" customFormat="1" ht="10.5">
      <c r="A43" s="241"/>
      <c r="B43" s="241"/>
      <c r="C43" s="241"/>
      <c r="D43" s="241"/>
      <c r="E43" s="241"/>
      <c r="F43" s="241"/>
      <c r="H43" s="243"/>
    </row>
    <row r="44" spans="1:8" s="242" customFormat="1" ht="15.95" customHeight="1">
      <c r="A44" s="241"/>
      <c r="B44" s="241"/>
      <c r="C44" s="241"/>
      <c r="D44" s="241"/>
      <c r="E44" s="241"/>
      <c r="F44" s="241"/>
      <c r="H44" s="243"/>
    </row>
    <row r="45" spans="1:8" s="242" customFormat="1" ht="15.95" customHeight="1">
      <c r="A45" s="241"/>
      <c r="B45" s="241"/>
      <c r="C45" s="241"/>
      <c r="D45" s="241"/>
      <c r="E45" s="241"/>
      <c r="F45" s="241"/>
      <c r="H45" s="243"/>
    </row>
    <row r="46" spans="1:8" s="242" customFormat="1" ht="15.95" customHeight="1">
      <c r="A46" s="241"/>
      <c r="B46" s="241"/>
      <c r="C46" s="241"/>
      <c r="D46" s="241"/>
      <c r="E46" s="241"/>
      <c r="F46" s="241"/>
      <c r="H46" s="243"/>
    </row>
    <row r="47" spans="1:8" s="242" customFormat="1" ht="15.95" customHeight="1">
      <c r="A47" s="241"/>
      <c r="B47" s="241"/>
      <c r="C47" s="241"/>
      <c r="D47" s="241"/>
      <c r="E47" s="241"/>
      <c r="F47" s="241"/>
      <c r="H47" s="243"/>
    </row>
    <row r="48" spans="1:8" s="242" customFormat="1" ht="15.95" customHeight="1">
      <c r="A48" s="241"/>
      <c r="B48" s="241"/>
      <c r="C48" s="241"/>
      <c r="D48" s="241"/>
      <c r="E48" s="241"/>
      <c r="F48" s="241"/>
      <c r="H48" s="243"/>
    </row>
    <row r="49" spans="1:17" s="242" customFormat="1" ht="15.95" customHeight="1">
      <c r="A49" s="241"/>
      <c r="B49" s="241"/>
      <c r="C49" s="241"/>
      <c r="D49" s="241"/>
      <c r="E49" s="241"/>
      <c r="F49" s="241"/>
      <c r="H49" s="243"/>
    </row>
    <row r="50" spans="1:17" s="242" customFormat="1" ht="15.95" customHeight="1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Q50" s="243"/>
    </row>
    <row r="51" spans="1:17" s="242" customFormat="1" ht="15.95" customHeight="1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Q51" s="243"/>
    </row>
    <row r="52" spans="1:17" s="242" customFormat="1" ht="15.95" customHeight="1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Q52" s="243"/>
    </row>
    <row r="53" spans="1:17" s="242" customFormat="1" ht="15.95" customHeight="1">
      <c r="A53" s="241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Q53" s="243"/>
    </row>
    <row r="54" spans="1:17" s="242" customFormat="1" ht="15.95" customHeight="1">
      <c r="A54" s="241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Q54" s="243"/>
    </row>
    <row r="55" spans="1:17" s="242" customFormat="1" ht="15.95" customHeight="1">
      <c r="A55" s="241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Q55" s="243"/>
    </row>
    <row r="56" spans="1:17" s="242" customFormat="1" ht="15.95" customHeight="1">
      <c r="A56" s="241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Q56" s="243"/>
    </row>
    <row r="57" spans="1:17" s="242" customFormat="1" ht="15.95" customHeight="1">
      <c r="A57" s="241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Q57" s="243"/>
    </row>
    <row r="58" spans="1:17" s="242" customFormat="1" ht="15.95" customHeight="1">
      <c r="A58" s="241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Q58" s="243"/>
    </row>
    <row r="59" spans="1:17" s="242" customFormat="1" ht="15.95" customHeight="1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Q59" s="243"/>
    </row>
    <row r="60" spans="1:17" s="242" customFormat="1" ht="15.95" customHeight="1">
      <c r="A60" s="241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Q60" s="243"/>
    </row>
    <row r="61" spans="1:17" s="242" customFormat="1" ht="15.95" customHeight="1">
      <c r="A61" s="241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Q61" s="243"/>
    </row>
    <row r="62" spans="1:17" s="242" customFormat="1" ht="15.95" customHeight="1">
      <c r="A62" s="241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Q62" s="243"/>
    </row>
    <row r="63" spans="1:17" s="242" customFormat="1" ht="15.95" customHeight="1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Q63" s="243"/>
    </row>
    <row r="64" spans="1:17" s="242" customFormat="1" ht="15.95" customHeight="1">
      <c r="A64" s="241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Q64" s="243"/>
    </row>
    <row r="65" spans="1:17" s="242" customFormat="1" ht="15.95" customHeight="1">
      <c r="A65" s="241"/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Q65" s="243"/>
    </row>
    <row r="66" spans="1:17" s="242" customFormat="1" ht="15.95" customHeight="1">
      <c r="A66" s="241"/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Q66" s="243"/>
    </row>
    <row r="67" spans="1:17" s="242" customFormat="1" ht="15.95" customHeight="1">
      <c r="A67" s="241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Q67" s="243"/>
    </row>
    <row r="68" spans="1:17" s="242" customFormat="1" ht="15.95" customHeight="1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Q68" s="243"/>
    </row>
    <row r="69" spans="1:17" s="242" customFormat="1" ht="15.95" customHeight="1">
      <c r="A69" s="241"/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Q69" s="243"/>
    </row>
    <row r="70" spans="1:17" s="242" customFormat="1" ht="15.95" customHeight="1">
      <c r="A70" s="241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Q70" s="243"/>
    </row>
    <row r="71" spans="1:17" s="242" customFormat="1" ht="15.95" customHeight="1">
      <c r="A71" s="241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Q71" s="243"/>
    </row>
    <row r="72" spans="1:17" s="242" customFormat="1" ht="15.95" customHeight="1">
      <c r="A72" s="241"/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Q72" s="243"/>
    </row>
    <row r="73" spans="1:17" s="242" customFormat="1" ht="15.95" customHeight="1">
      <c r="A73" s="241"/>
      <c r="B73" s="241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Q73" s="243"/>
    </row>
    <row r="74" spans="1:17" s="242" customFormat="1" ht="15.95" customHeight="1">
      <c r="A74" s="241"/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Q74" s="243"/>
    </row>
    <row r="75" spans="1:17" s="242" customFormat="1" ht="15.95" customHeight="1">
      <c r="A75" s="241"/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Q75" s="243"/>
    </row>
    <row r="76" spans="1:17" s="242" customFormat="1" ht="15.95" customHeight="1">
      <c r="A76" s="241"/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Q76" s="243"/>
    </row>
    <row r="77" spans="1:17" s="242" customFormat="1" ht="15.95" customHeight="1">
      <c r="A77" s="241"/>
      <c r="B77" s="241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Q77" s="243"/>
    </row>
    <row r="78" spans="1:17" s="242" customFormat="1" ht="15.95" customHeight="1">
      <c r="A78" s="241"/>
      <c r="B78" s="241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Q78" s="243"/>
    </row>
    <row r="79" spans="1:17" s="242" customFormat="1" ht="15.95" customHeight="1">
      <c r="A79" s="241"/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Q79" s="243"/>
    </row>
    <row r="80" spans="1:17" s="242" customFormat="1" ht="15.95" customHeight="1">
      <c r="A80" s="241"/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Q80" s="243"/>
    </row>
    <row r="81" spans="1:17" s="242" customFormat="1" ht="15.95" customHeight="1">
      <c r="A81" s="241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Q81" s="243"/>
    </row>
    <row r="82" spans="1:17" s="242" customFormat="1" ht="15.95" customHeight="1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Q82" s="243"/>
    </row>
    <row r="83" spans="1:17" s="242" customFormat="1" ht="15.95" customHeight="1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Q83" s="243"/>
    </row>
    <row r="84" spans="1:17" s="242" customFormat="1" ht="15.95" customHeight="1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Q84" s="243"/>
    </row>
    <row r="85" spans="1:17" s="242" customFormat="1" ht="15.95" customHeight="1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Q85" s="243"/>
    </row>
    <row r="86" spans="1:17" s="242" customFormat="1" ht="15.95" customHeight="1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Q86" s="243"/>
    </row>
    <row r="87" spans="1:17" s="242" customFormat="1" ht="15.95" customHeight="1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Q87" s="243"/>
    </row>
    <row r="88" spans="1:17" s="242" customFormat="1" ht="15.95" customHeight="1">
      <c r="A88" s="241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Q88" s="243"/>
    </row>
    <row r="89" spans="1:17" s="242" customFormat="1" ht="15.95" customHeight="1">
      <c r="A89" s="241"/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Q89" s="243"/>
    </row>
    <row r="90" spans="1:17" s="242" customFormat="1" ht="15.95" customHeight="1">
      <c r="A90" s="241"/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Q90" s="243"/>
    </row>
    <row r="91" spans="1:17" s="242" customFormat="1" ht="15.95" customHeight="1">
      <c r="A91" s="241"/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Q91" s="243"/>
    </row>
    <row r="92" spans="1:17" s="242" customFormat="1" ht="15.95" customHeight="1">
      <c r="A92" s="241"/>
      <c r="B92" s="241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Q92" s="243"/>
    </row>
    <row r="93" spans="1:17" s="242" customFormat="1" ht="15.95" customHeight="1">
      <c r="A93" s="241"/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Q93" s="243"/>
    </row>
    <row r="94" spans="1:17" s="242" customFormat="1" ht="15.95" customHeight="1">
      <c r="A94" s="241"/>
      <c r="B94" s="241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Q94" s="243"/>
    </row>
    <row r="95" spans="1:17" s="242" customFormat="1" ht="15.95" customHeight="1">
      <c r="A95" s="241"/>
      <c r="B95" s="241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Q95" s="243"/>
    </row>
    <row r="96" spans="1:17" s="242" customFormat="1" ht="15.95" customHeight="1">
      <c r="A96" s="241"/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Q96" s="243"/>
    </row>
    <row r="97" spans="1:17" s="242" customFormat="1" ht="15.95" customHeight="1">
      <c r="A97" s="241"/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Q97" s="243"/>
    </row>
    <row r="98" spans="1:17" s="242" customFormat="1" ht="15.95" customHeight="1">
      <c r="A98" s="241"/>
      <c r="B98" s="241"/>
      <c r="C98" s="241"/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Q98" s="243"/>
    </row>
    <row r="99" spans="1:17" s="242" customFormat="1" ht="15.95" customHeight="1">
      <c r="A99" s="241"/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Q99" s="243"/>
    </row>
    <row r="100" spans="1:17" s="242" customFormat="1" ht="15.95" customHeight="1">
      <c r="A100" s="241"/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Q100" s="243"/>
    </row>
    <row r="101" spans="1:17" s="242" customFormat="1" ht="15.95" customHeight="1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Q101" s="243"/>
    </row>
    <row r="102" spans="1:17" s="242" customFormat="1" ht="15.95" customHeight="1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Q102" s="243"/>
    </row>
    <row r="103" spans="1:17" s="242" customFormat="1" ht="15.95" customHeight="1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Q103" s="243"/>
    </row>
    <row r="104" spans="1:17" s="242" customFormat="1" ht="15.95" customHeight="1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Q104" s="243"/>
    </row>
    <row r="105" spans="1:17" s="242" customFormat="1" ht="15.95" customHeight="1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Q105" s="243"/>
    </row>
    <row r="106" spans="1:17" s="242" customFormat="1" ht="15.95" customHeight="1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Q106" s="243"/>
    </row>
    <row r="107" spans="1:17" s="242" customFormat="1" ht="15.95" customHeight="1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Q107" s="243"/>
    </row>
    <row r="108" spans="1:17" s="242" customFormat="1" ht="15.95" customHeight="1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Q108" s="243"/>
    </row>
    <row r="109" spans="1:17" s="242" customFormat="1" ht="15.95" customHeight="1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Q109" s="243"/>
    </row>
    <row r="110" spans="1:17" s="242" customFormat="1" ht="15.95" customHeight="1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Q110" s="243"/>
    </row>
    <row r="111" spans="1:17" s="242" customFormat="1" ht="15.95" customHeight="1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Q111" s="243"/>
    </row>
    <row r="112" spans="1:17" s="242" customFormat="1" ht="15.95" customHeight="1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Q112" s="243"/>
    </row>
    <row r="113" spans="1:17" s="242" customFormat="1" ht="15.95" customHeight="1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Q113" s="243"/>
    </row>
    <row r="114" spans="1:17" s="242" customFormat="1" ht="15.95" customHeight="1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Q114" s="243"/>
    </row>
    <row r="115" spans="1:17" s="242" customFormat="1" ht="15.95" customHeight="1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Q115" s="243"/>
    </row>
    <row r="116" spans="1:17" s="242" customFormat="1" ht="15.95" customHeight="1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Q116" s="243"/>
    </row>
    <row r="117" spans="1:17" s="242" customFormat="1" ht="15.95" customHeight="1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Q117" s="243"/>
    </row>
    <row r="118" spans="1:17" ht="15.95" customHeight="1">
      <c r="B118" s="241"/>
      <c r="C118" s="241"/>
      <c r="D118" s="241"/>
      <c r="E118" s="241"/>
      <c r="F118" s="241"/>
    </row>
  </sheetData>
  <phoneticPr fontId="2" type="noConversion"/>
  <pageMargins left="0.74803149606299213" right="0.74803149606299213" top="0.78740157480314965" bottom="0.6" header="0.51181102362204722" footer="0.51181102362204722"/>
  <pageSetup paperSize="9" scale="93" fitToHeight="4" orientation="landscape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0"/>
    <pageSetUpPr fitToPage="1"/>
  </sheetPr>
  <dimension ref="A1:U58"/>
  <sheetViews>
    <sheetView view="pageBreakPreview" zoomScale="85" zoomScaleNormal="70" zoomScaleSheetLayoutView="70" workbookViewId="0">
      <selection activeCell="H6" sqref="H6"/>
    </sheetView>
  </sheetViews>
  <sheetFormatPr defaultRowHeight="15.95" customHeight="1"/>
  <cols>
    <col min="1" max="1" width="3.21875" style="25" customWidth="1"/>
    <col min="2" max="2" width="25.21875" style="25" customWidth="1"/>
    <col min="3" max="3" width="10.5546875" style="25" customWidth="1"/>
    <col min="4" max="4" width="9.6640625" style="25" customWidth="1"/>
    <col min="5" max="6" width="10.6640625" style="25" customWidth="1"/>
    <col min="7" max="8" width="12.21875" style="25" customWidth="1"/>
    <col min="9" max="9" width="10.109375" style="25" customWidth="1"/>
    <col min="10" max="10" width="10.5546875" style="25" customWidth="1"/>
    <col min="11" max="11" width="7.6640625" style="25" customWidth="1"/>
    <col min="12" max="13" width="8.88671875" style="25"/>
    <col min="14" max="16" width="7.77734375" style="25" customWidth="1"/>
    <col min="17" max="17" width="6.6640625" style="25" customWidth="1"/>
    <col min="18" max="18" width="15" style="2" customWidth="1"/>
    <col min="19" max="20" width="14.33203125" style="2" customWidth="1"/>
    <col min="21" max="21" width="12.33203125" style="23" customWidth="1"/>
    <col min="22" max="22" width="7.88671875" style="2" customWidth="1"/>
    <col min="23" max="23" width="10.109375" style="2" bestFit="1" customWidth="1"/>
    <col min="24" max="24" width="7.77734375" style="2" customWidth="1"/>
    <col min="25" max="16384" width="8.88671875" style="2"/>
  </cols>
  <sheetData>
    <row r="1" spans="1:21" s="8" customFormat="1" ht="20.100000000000001" customHeight="1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U1" s="21"/>
    </row>
    <row r="2" spans="1:21" s="4" customFormat="1" ht="20.100000000000001" customHeight="1">
      <c r="A2" s="10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U2" s="22"/>
    </row>
    <row r="3" spans="1:21" s="8" customFormat="1" ht="20.100000000000001" customHeight="1">
      <c r="A3" s="78"/>
      <c r="B3" s="95" t="s">
        <v>200</v>
      </c>
      <c r="C3" s="95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1" s="4" customFormat="1" ht="20.100000000000001" customHeight="1">
      <c r="A4" s="26"/>
      <c r="B4" s="1071" t="s">
        <v>80</v>
      </c>
      <c r="C4" s="1081" t="s">
        <v>114</v>
      </c>
      <c r="D4" s="1083" t="s">
        <v>87</v>
      </c>
      <c r="E4" s="1081" t="s">
        <v>124</v>
      </c>
      <c r="F4" s="1084"/>
      <c r="G4" s="1084"/>
      <c r="H4" s="1084" t="s">
        <v>111</v>
      </c>
      <c r="I4" s="1083" t="s">
        <v>87</v>
      </c>
      <c r="J4" s="1081" t="s">
        <v>100</v>
      </c>
      <c r="K4" s="1084"/>
      <c r="L4" s="1084" t="s">
        <v>111</v>
      </c>
      <c r="M4" s="1083" t="s">
        <v>87</v>
      </c>
      <c r="N4" s="1107" t="s">
        <v>101</v>
      </c>
      <c r="O4" s="1083" t="s">
        <v>81</v>
      </c>
    </row>
    <row r="5" spans="1:21" s="4" customFormat="1" ht="20.100000000000001" customHeight="1">
      <c r="A5" s="26"/>
      <c r="B5" s="1072"/>
      <c r="C5" s="1082"/>
      <c r="D5" s="1088"/>
      <c r="E5" s="597" t="s">
        <v>110</v>
      </c>
      <c r="F5" s="598" t="s">
        <v>112</v>
      </c>
      <c r="G5" s="598" t="s">
        <v>113</v>
      </c>
      <c r="H5" s="1097"/>
      <c r="I5" s="1088"/>
      <c r="J5" s="597" t="s">
        <v>110</v>
      </c>
      <c r="K5" s="598" t="s">
        <v>112</v>
      </c>
      <c r="L5" s="1097"/>
      <c r="M5" s="1088"/>
      <c r="N5" s="1108"/>
      <c r="O5" s="1088"/>
    </row>
    <row r="6" spans="1:21" s="4" customFormat="1" ht="27" customHeight="1">
      <c r="A6" s="26"/>
      <c r="B6" s="381" t="str">
        <f>부실벌점!B5</f>
        <v>oo엔지니어링</v>
      </c>
      <c r="C6" s="694">
        <f>'개발(000)'!J4</f>
        <v>0</v>
      </c>
      <c r="D6" s="1104">
        <f>C6*N6+C7*N7+C8*N8</f>
        <v>0.66500000000000004</v>
      </c>
      <c r="E6" s="305">
        <f>'개발(000)'!J12</f>
        <v>0</v>
      </c>
      <c r="F6" s="306">
        <f>'개발(000)'!J9</f>
        <v>2</v>
      </c>
      <c r="G6" s="699">
        <f>'개발(000)'!J6</f>
        <v>0</v>
      </c>
      <c r="H6" s="697">
        <f>(E6+F6*배점기준!$F$96+G6*배점기준!$G$96)*배점기준!$F$94</f>
        <v>1.6</v>
      </c>
      <c r="I6" s="1104">
        <f>H6*N6+H7*N7+H8*N8</f>
        <v>1.286</v>
      </c>
      <c r="J6" s="702">
        <f>'개발(000)'!J16</f>
        <v>0</v>
      </c>
      <c r="K6" s="703">
        <f>'개발(000)'!J14</f>
        <v>0</v>
      </c>
      <c r="L6" s="704">
        <f>(J6*배점기준!$E$97+K6*배점기준!$F$97)*배점기준!$G$94</f>
        <v>0</v>
      </c>
      <c r="M6" s="1101">
        <f>L6*N6+L8*N8</f>
        <v>0</v>
      </c>
      <c r="N6" s="310">
        <f>참여업체!C7</f>
        <v>0.42</v>
      </c>
      <c r="O6" s="1098">
        <f>IF((D6+I6+M6)&gt;=배점기준!$C$93,배점기준!$C$93,(D6+I6+M6))</f>
        <v>1.9510000000000001</v>
      </c>
    </row>
    <row r="7" spans="1:21" s="4" customFormat="1" ht="27" customHeight="1">
      <c r="A7" s="26"/>
      <c r="B7" s="668" t="str">
        <f>부실벌점!B6</f>
        <v>＊＊엔지니어링</v>
      </c>
      <c r="C7" s="694">
        <f>'개발(0001)'!J4</f>
        <v>0.5</v>
      </c>
      <c r="D7" s="1105"/>
      <c r="E7" s="695">
        <f>'개발(0001)'!J10</f>
        <v>0</v>
      </c>
      <c r="F7" s="696">
        <f>'개발(0001)'!J8</f>
        <v>1</v>
      </c>
      <c r="G7" s="700">
        <f>'개발(0001)'!J6</f>
        <v>0</v>
      </c>
      <c r="H7" s="697">
        <f>(E7+F7*배점기준!$F$96+G7*배점기준!$G$96)*배점기준!$F$94</f>
        <v>0.8</v>
      </c>
      <c r="I7" s="1105"/>
      <c r="J7" s="705">
        <f>'개발(0001)'!J14</f>
        <v>0</v>
      </c>
      <c r="K7" s="706">
        <f>'개발(0001)'!J12</f>
        <v>0</v>
      </c>
      <c r="L7" s="707">
        <f>(J7*배점기준!$E$97+K7*배점기준!$F$97)*배점기준!$G$94</f>
        <v>0</v>
      </c>
      <c r="M7" s="1102"/>
      <c r="N7" s="310">
        <f>참여업체!D7</f>
        <v>0.33</v>
      </c>
      <c r="O7" s="1099"/>
    </row>
    <row r="8" spans="1:21" s="4" customFormat="1" ht="27" customHeight="1">
      <c r="A8" s="26"/>
      <c r="B8" s="382" t="str">
        <f>부실벌점!B7</f>
        <v>☆☆엔지니어링</v>
      </c>
      <c r="C8" s="694">
        <f>'개발(0002)'!J4</f>
        <v>2</v>
      </c>
      <c r="D8" s="1106"/>
      <c r="E8" s="307">
        <f>'개발(0002)'!J10</f>
        <v>0</v>
      </c>
      <c r="F8" s="308">
        <f>'개발(0002)'!J8</f>
        <v>1</v>
      </c>
      <c r="G8" s="701">
        <f>'개발(0002)'!J6</f>
        <v>1</v>
      </c>
      <c r="H8" s="698">
        <f>(E8+F8*배점기준!$F$96+G8*배점기준!$G$96)*배점기준!$F$94</f>
        <v>1.4</v>
      </c>
      <c r="I8" s="1106"/>
      <c r="J8" s="708">
        <f>'개발(0002)'!J14</f>
        <v>0</v>
      </c>
      <c r="K8" s="709">
        <f>'개발(0002)'!J12</f>
        <v>0</v>
      </c>
      <c r="L8" s="710">
        <f>(J8*배점기준!$E$97+K8*배점기준!$F$97)*배점기준!$G$94</f>
        <v>0</v>
      </c>
      <c r="M8" s="1103"/>
      <c r="N8" s="711">
        <f>참여업체!E7</f>
        <v>0.25</v>
      </c>
      <c r="O8" s="1100"/>
    </row>
    <row r="9" spans="1:21" s="4" customFormat="1" ht="22.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U9" s="22"/>
    </row>
    <row r="10" spans="1:21" ht="19.5" customHeight="1">
      <c r="B10" s="95" t="s">
        <v>406</v>
      </c>
      <c r="C10" s="95"/>
      <c r="D10" s="78"/>
      <c r="E10" s="78"/>
      <c r="F10" s="78"/>
      <c r="G10" s="107"/>
      <c r="H10" s="78"/>
      <c r="I10" s="78"/>
      <c r="J10" s="78"/>
      <c r="K10" s="108"/>
      <c r="L10" s="108"/>
    </row>
    <row r="11" spans="1:21" ht="20.100000000000001" customHeight="1">
      <c r="B11" s="1116" t="s">
        <v>80</v>
      </c>
      <c r="C11" s="901" t="s">
        <v>246</v>
      </c>
      <c r="D11" s="1118" t="s">
        <v>129</v>
      </c>
      <c r="E11" s="1083"/>
      <c r="F11" s="1119" t="s">
        <v>88</v>
      </c>
      <c r="G11" s="1090" t="s">
        <v>181</v>
      </c>
      <c r="H11" s="1111" t="s">
        <v>101</v>
      </c>
      <c r="I11" s="1071" t="s">
        <v>98</v>
      </c>
      <c r="J11" s="1109" t="s">
        <v>81</v>
      </c>
      <c r="K11" s="108"/>
      <c r="L11" s="108"/>
    </row>
    <row r="12" spans="1:21" ht="20.100000000000001" customHeight="1">
      <c r="B12" s="1117"/>
      <c r="C12" s="903"/>
      <c r="D12" s="400" t="s">
        <v>137</v>
      </c>
      <c r="E12" s="601" t="s">
        <v>138</v>
      </c>
      <c r="F12" s="1120"/>
      <c r="G12" s="1091"/>
      <c r="H12" s="1112"/>
      <c r="I12" s="1072"/>
      <c r="J12" s="1110"/>
      <c r="K12" s="108"/>
      <c r="L12" s="108"/>
    </row>
    <row r="13" spans="1:21" ht="21" customHeight="1">
      <c r="B13" s="1127" t="str">
        <f>B6</f>
        <v>oo엔지니어링</v>
      </c>
      <c r="C13" s="116">
        <v>2012</v>
      </c>
      <c r="D13" s="671">
        <v>5268</v>
      </c>
      <c r="E13" s="671">
        <v>140278</v>
      </c>
      <c r="F13" s="251">
        <f t="shared" ref="F13:F21" si="0">IF(D13=0,"0",D13/E13)</f>
        <v>3.7553999914455578E-2</v>
      </c>
      <c r="G13" s="1089">
        <f>(F13+F14+F15)/3</f>
        <v>3.6042270835497124E-2</v>
      </c>
      <c r="H13" s="1113">
        <f>참여업체!C7</f>
        <v>0.42</v>
      </c>
      <c r="I13" s="1132">
        <f>G13*H13+G16*H16+G19*H19</f>
        <v>3.9058943480552062E-2</v>
      </c>
      <c r="J13" s="1131">
        <f>IF(I13&gt;=배점기준!$E$98,배점기준!$E$99,IF(I13&gt;=배점기준!$F$98,배점기준!$F$99,IF(I13&gt;=배점기준!$G$98,배점기준!$G$99,IF(I13&gt;=배점기준!$H$98,배점기준!$H$99,IF(I13&lt;배점기준!$I$98,배점기준!$I$99)))))</f>
        <v>8</v>
      </c>
      <c r="K13" s="108"/>
      <c r="L13" s="108"/>
    </row>
    <row r="14" spans="1:21" ht="21" customHeight="1">
      <c r="B14" s="1127"/>
      <c r="C14" s="116">
        <v>2013</v>
      </c>
      <c r="D14" s="671">
        <v>5556</v>
      </c>
      <c r="E14" s="671">
        <v>140506</v>
      </c>
      <c r="F14" s="251">
        <f t="shared" si="0"/>
        <v>3.9542795325466527E-2</v>
      </c>
      <c r="G14" s="1089"/>
      <c r="H14" s="1113"/>
      <c r="I14" s="1132"/>
      <c r="J14" s="1131"/>
      <c r="K14" s="108"/>
      <c r="L14" s="108"/>
    </row>
    <row r="15" spans="1:21" ht="21" customHeight="1">
      <c r="B15" s="1127"/>
      <c r="C15" s="116">
        <v>2014</v>
      </c>
      <c r="D15" s="671">
        <v>3738</v>
      </c>
      <c r="E15" s="671">
        <v>120464</v>
      </c>
      <c r="F15" s="251">
        <f t="shared" si="0"/>
        <v>3.1030017266569267E-2</v>
      </c>
      <c r="G15" s="1089"/>
      <c r="H15" s="1113"/>
      <c r="I15" s="1132"/>
      <c r="J15" s="1131"/>
      <c r="K15" s="108"/>
      <c r="L15" s="108"/>
    </row>
    <row r="16" spans="1:21" ht="21" customHeight="1">
      <c r="B16" s="1127" t="str">
        <f>B7</f>
        <v>＊＊엔지니어링</v>
      </c>
      <c r="C16" s="116">
        <v>2012</v>
      </c>
      <c r="D16" s="672">
        <v>1761</v>
      </c>
      <c r="E16" s="672">
        <v>48107</v>
      </c>
      <c r="F16" s="251">
        <f t="shared" si="0"/>
        <v>3.6605899349367033E-2</v>
      </c>
      <c r="G16" s="1089">
        <f>(F16+F17+F18)/3</f>
        <v>3.4557549320889634E-2</v>
      </c>
      <c r="H16" s="1094">
        <v>0.33</v>
      </c>
      <c r="I16" s="1132"/>
      <c r="J16" s="1131"/>
      <c r="K16" s="108"/>
      <c r="L16" s="108"/>
    </row>
    <row r="17" spans="1:21" ht="21" customHeight="1">
      <c r="B17" s="1127"/>
      <c r="C17" s="116">
        <v>2013</v>
      </c>
      <c r="D17" s="250">
        <v>1587</v>
      </c>
      <c r="E17" s="250">
        <v>45360</v>
      </c>
      <c r="F17" s="251">
        <f t="shared" si="0"/>
        <v>3.498677248677249E-2</v>
      </c>
      <c r="G17" s="1089"/>
      <c r="H17" s="1095"/>
      <c r="I17" s="1132"/>
      <c r="J17" s="1131"/>
      <c r="K17" s="108"/>
      <c r="L17" s="108"/>
    </row>
    <row r="18" spans="1:21" ht="21" customHeight="1">
      <c r="B18" s="1127"/>
      <c r="C18" s="116">
        <v>2014</v>
      </c>
      <c r="D18" s="673">
        <v>1505</v>
      </c>
      <c r="E18" s="673">
        <v>46914</v>
      </c>
      <c r="F18" s="251">
        <f t="shared" si="0"/>
        <v>3.2079976126529394E-2</v>
      </c>
      <c r="G18" s="1089"/>
      <c r="H18" s="1096"/>
      <c r="I18" s="1132"/>
      <c r="J18" s="1131"/>
      <c r="K18" s="108"/>
      <c r="L18" s="108"/>
    </row>
    <row r="19" spans="1:21" ht="21" customHeight="1">
      <c r="B19" s="1127" t="str">
        <f>B8</f>
        <v>☆☆엔지니어링</v>
      </c>
      <c r="C19" s="116">
        <v>2012</v>
      </c>
      <c r="D19" s="669">
        <v>7548</v>
      </c>
      <c r="E19" s="670">
        <v>150287</v>
      </c>
      <c r="F19" s="251">
        <f t="shared" si="0"/>
        <v>5.0223904928570005E-2</v>
      </c>
      <c r="G19" s="1089">
        <f>(F19+F20+F21)/3</f>
        <v>5.0068793814998763E-2</v>
      </c>
      <c r="H19" s="1113">
        <v>0.25</v>
      </c>
      <c r="I19" s="1132"/>
      <c r="J19" s="1131"/>
      <c r="K19" s="108"/>
      <c r="L19" s="108"/>
    </row>
    <row r="20" spans="1:21" ht="21" customHeight="1">
      <c r="B20" s="1127"/>
      <c r="C20" s="116">
        <v>2013</v>
      </c>
      <c r="D20" s="250">
        <v>7695</v>
      </c>
      <c r="E20" s="250">
        <v>153835</v>
      </c>
      <c r="F20" s="251">
        <f t="shared" si="0"/>
        <v>5.0021126531673545E-2</v>
      </c>
      <c r="G20" s="1089"/>
      <c r="H20" s="1113"/>
      <c r="I20" s="1132"/>
      <c r="J20" s="1131"/>
      <c r="K20" s="108"/>
      <c r="L20" s="108"/>
    </row>
    <row r="21" spans="1:21" ht="21" customHeight="1">
      <c r="B21" s="1127"/>
      <c r="C21" s="116">
        <v>2014</v>
      </c>
      <c r="D21" s="617">
        <v>7045</v>
      </c>
      <c r="E21" s="618">
        <v>141009</v>
      </c>
      <c r="F21" s="251">
        <f t="shared" si="0"/>
        <v>4.9961349984752747E-2</v>
      </c>
      <c r="G21" s="1089"/>
      <c r="H21" s="1113"/>
      <c r="I21" s="1132"/>
      <c r="J21" s="1131"/>
      <c r="K21" s="108"/>
      <c r="L21" s="108"/>
    </row>
    <row r="22" spans="1:21" ht="22.5" customHeight="1">
      <c r="J22" s="109"/>
      <c r="K22" s="108"/>
      <c r="L22" s="108"/>
    </row>
    <row r="23" spans="1:21" ht="20.100000000000001" customHeight="1">
      <c r="B23" s="95" t="s">
        <v>201</v>
      </c>
      <c r="C23" s="95"/>
      <c r="D23" s="78"/>
      <c r="E23" s="78"/>
      <c r="F23" s="78"/>
      <c r="G23" s="78"/>
      <c r="H23" s="78"/>
      <c r="I23" s="78"/>
      <c r="J23" s="78"/>
      <c r="K23" s="78"/>
      <c r="L23" s="78"/>
    </row>
    <row r="24" spans="1:21" ht="22.5" customHeight="1">
      <c r="B24" s="1071" t="s">
        <v>80</v>
      </c>
      <c r="C24" s="1092" t="s">
        <v>114</v>
      </c>
      <c r="D24" s="1093"/>
      <c r="E24" s="1081" t="s">
        <v>124</v>
      </c>
      <c r="F24" s="1128"/>
      <c r="G24" s="1081" t="s">
        <v>100</v>
      </c>
      <c r="H24" s="1083"/>
      <c r="I24" s="901" t="s">
        <v>101</v>
      </c>
      <c r="J24" s="1109" t="s">
        <v>81</v>
      </c>
      <c r="P24" s="2"/>
      <c r="Q24" s="2"/>
      <c r="S24" s="23"/>
      <c r="U24" s="2"/>
    </row>
    <row r="25" spans="1:21" ht="22.5" customHeight="1">
      <c r="B25" s="1072"/>
      <c r="C25" s="400" t="s">
        <v>87</v>
      </c>
      <c r="D25" s="401" t="s">
        <v>111</v>
      </c>
      <c r="E25" s="386" t="s">
        <v>87</v>
      </c>
      <c r="F25" s="401" t="s">
        <v>111</v>
      </c>
      <c r="G25" s="597" t="s">
        <v>87</v>
      </c>
      <c r="H25" s="601" t="s">
        <v>111</v>
      </c>
      <c r="I25" s="903"/>
      <c r="J25" s="1110"/>
      <c r="P25" s="2"/>
      <c r="Q25" s="2"/>
      <c r="S25" s="23"/>
      <c r="U25" s="2"/>
    </row>
    <row r="26" spans="1:21" ht="26.25" customHeight="1">
      <c r="B26" s="381" t="str">
        <f>B6</f>
        <v>oo엔지니어링</v>
      </c>
      <c r="C26" s="309">
        <f>'활용(000)'!J6</f>
        <v>2.9</v>
      </c>
      <c r="D26" s="1121">
        <f>C26*I26+C27*L27+C28*I28</f>
        <v>2.6929999999999996</v>
      </c>
      <c r="E26" s="713">
        <f>'활용(000)'!J8</f>
        <v>0.36</v>
      </c>
      <c r="F26" s="1124">
        <f>E26*I26+E28*I28</f>
        <v>0.1512</v>
      </c>
      <c r="G26" s="713">
        <f>'활용(000)'!J10</f>
        <v>0</v>
      </c>
      <c r="H26" s="1114">
        <f>G26*I26+G28*I28</f>
        <v>0</v>
      </c>
      <c r="I26" s="310">
        <f>참여업체!C7</f>
        <v>0.42</v>
      </c>
      <c r="J26" s="1129">
        <f>IF((D26+F26+H26)&gt;=배점기준!$C$100,배점기준!$C$100,(D26+F26+H26))</f>
        <v>2.8441999999999998</v>
      </c>
      <c r="P26" s="2"/>
      <c r="Q26" s="2"/>
      <c r="S26" s="23"/>
      <c r="U26" s="2"/>
    </row>
    <row r="27" spans="1:21" ht="26.25" customHeight="1">
      <c r="B27" s="630" t="str">
        <f>B7</f>
        <v>＊＊엔지니어링</v>
      </c>
      <c r="C27" s="309">
        <f>'활용(0001)'!J10</f>
        <v>5.5</v>
      </c>
      <c r="D27" s="1122"/>
      <c r="E27" s="713">
        <f>'활용(0001)'!J12</f>
        <v>0</v>
      </c>
      <c r="F27" s="1125"/>
      <c r="G27" s="713">
        <f>'활용(0001)'!J14</f>
        <v>0</v>
      </c>
      <c r="H27" s="1102"/>
      <c r="I27" s="310">
        <f>참여업체!D7</f>
        <v>0.33</v>
      </c>
      <c r="J27" s="1074"/>
      <c r="P27" s="2"/>
      <c r="Q27" s="2"/>
      <c r="S27" s="23"/>
      <c r="U27" s="2"/>
    </row>
    <row r="28" spans="1:21" ht="26.25" customHeight="1">
      <c r="B28" s="630" t="str">
        <f>B8</f>
        <v>☆☆엔지니어링</v>
      </c>
      <c r="C28" s="712">
        <f>'활용(0002)'!J12</f>
        <v>5.8999999999999995</v>
      </c>
      <c r="D28" s="1123"/>
      <c r="E28" s="713">
        <f>'활용(0002)'!J14</f>
        <v>0</v>
      </c>
      <c r="F28" s="1126"/>
      <c r="G28" s="713">
        <f>'활용(0002)'!J16</f>
        <v>0</v>
      </c>
      <c r="H28" s="1115"/>
      <c r="I28" s="711">
        <f>참여업체!E7</f>
        <v>0.25</v>
      </c>
      <c r="J28" s="1130"/>
      <c r="P28" s="2"/>
      <c r="Q28" s="2"/>
      <c r="S28" s="23"/>
      <c r="U28" s="2"/>
    </row>
    <row r="29" spans="1:21" ht="10.5" customHeight="1"/>
    <row r="30" spans="1:21" ht="15.95" customHeight="1">
      <c r="B30" s="311"/>
      <c r="J30" s="109"/>
      <c r="K30" s="108"/>
      <c r="L30" s="108"/>
    </row>
    <row r="31" spans="1:21" ht="15.95" customHeight="1">
      <c r="A31" s="158" t="s">
        <v>239</v>
      </c>
      <c r="B31" s="159" t="s">
        <v>237</v>
      </c>
      <c r="C31" s="159"/>
      <c r="D31" s="244"/>
      <c r="E31" s="244"/>
      <c r="J31" s="109"/>
      <c r="K31" s="108"/>
      <c r="L31" s="108"/>
    </row>
    <row r="32" spans="1:21" ht="15.95" customHeight="1">
      <c r="A32" s="244"/>
      <c r="B32" s="159" t="s">
        <v>238</v>
      </c>
      <c r="C32" s="159"/>
      <c r="D32" s="244"/>
      <c r="E32" s="244"/>
      <c r="J32" s="109"/>
      <c r="K32" s="108"/>
      <c r="L32" s="108"/>
    </row>
    <row r="33" spans="2:12" ht="15.95" customHeight="1">
      <c r="B33" s="164" t="s">
        <v>236</v>
      </c>
      <c r="C33" s="164"/>
      <c r="J33" s="109"/>
      <c r="K33" s="87"/>
      <c r="L33" s="87"/>
    </row>
    <row r="34" spans="2:12" ht="15.95" customHeight="1">
      <c r="J34" s="109"/>
      <c r="K34" s="87"/>
    </row>
    <row r="35" spans="2:12" ht="15.95" customHeight="1">
      <c r="J35" s="109"/>
      <c r="K35" s="87"/>
    </row>
    <row r="36" spans="2:12" ht="15.95" customHeight="1">
      <c r="J36" s="109"/>
      <c r="K36" s="87"/>
    </row>
    <row r="37" spans="2:12" ht="15.95" customHeight="1">
      <c r="J37" s="109"/>
      <c r="K37" s="87"/>
    </row>
    <row r="38" spans="2:12" ht="15.95" customHeight="1">
      <c r="J38" s="109"/>
      <c r="K38" s="87"/>
    </row>
    <row r="39" spans="2:12" ht="15.95" customHeight="1">
      <c r="J39" s="109"/>
      <c r="K39" s="87"/>
    </row>
    <row r="40" spans="2:12" ht="15.95" customHeight="1">
      <c r="J40" s="109"/>
      <c r="K40" s="87"/>
    </row>
    <row r="41" spans="2:12" ht="15.95" customHeight="1">
      <c r="J41" s="109"/>
      <c r="K41" s="87"/>
    </row>
    <row r="42" spans="2:12" ht="15.95" customHeight="1">
      <c r="J42" s="109"/>
      <c r="K42" s="87"/>
    </row>
    <row r="43" spans="2:12" ht="15.95" customHeight="1">
      <c r="J43" s="109"/>
      <c r="K43" s="87"/>
    </row>
    <row r="44" spans="2:12" ht="15.95" customHeight="1">
      <c r="J44" s="109"/>
      <c r="K44" s="87"/>
    </row>
    <row r="45" spans="2:12" ht="15.95" customHeight="1">
      <c r="J45" s="109"/>
      <c r="K45" s="87"/>
    </row>
    <row r="46" spans="2:12" ht="15.95" customHeight="1">
      <c r="J46" s="109"/>
      <c r="K46" s="87"/>
    </row>
    <row r="47" spans="2:12" ht="15.95" customHeight="1">
      <c r="J47" s="109"/>
      <c r="K47" s="87"/>
    </row>
    <row r="48" spans="2:12" ht="15.95" customHeight="1">
      <c r="J48" s="109"/>
      <c r="K48" s="87"/>
    </row>
    <row r="49" spans="10:11" ht="15.95" customHeight="1">
      <c r="J49" s="109"/>
      <c r="K49" s="87"/>
    </row>
    <row r="50" spans="10:11" ht="15.95" customHeight="1">
      <c r="J50" s="109"/>
      <c r="K50" s="87"/>
    </row>
    <row r="51" spans="10:11" ht="15.95" customHeight="1">
      <c r="J51" s="109"/>
      <c r="K51" s="87"/>
    </row>
    <row r="52" spans="10:11" ht="15.95" customHeight="1">
      <c r="J52" s="109"/>
      <c r="K52" s="87"/>
    </row>
    <row r="53" spans="10:11" ht="15.95" customHeight="1">
      <c r="J53" s="109"/>
      <c r="K53" s="87"/>
    </row>
    <row r="54" spans="10:11" ht="15.95" customHeight="1">
      <c r="J54" s="109"/>
      <c r="K54" s="87"/>
    </row>
    <row r="55" spans="10:11" ht="15.95" customHeight="1">
      <c r="J55" s="109"/>
      <c r="K55" s="87"/>
    </row>
    <row r="56" spans="10:11" ht="15.95" customHeight="1">
      <c r="J56" s="109"/>
      <c r="K56" s="87"/>
    </row>
    <row r="57" spans="10:11" ht="15.95" customHeight="1">
      <c r="J57" s="109"/>
      <c r="K57" s="87"/>
    </row>
    <row r="58" spans="10:11" ht="15.95" customHeight="1">
      <c r="J58" s="109"/>
      <c r="K58" s="87"/>
    </row>
  </sheetData>
  <protectedRanges>
    <protectedRange password="CF2F" sqref="D13:E13" name="범위1_1"/>
    <protectedRange password="CF2F" sqref="D16:E18" name="범위1_1_1"/>
  </protectedRanges>
  <mergeCells count="44">
    <mergeCell ref="J26:J28"/>
    <mergeCell ref="J13:J21"/>
    <mergeCell ref="I13:I21"/>
    <mergeCell ref="J24:J25"/>
    <mergeCell ref="I24:I25"/>
    <mergeCell ref="H13:H15"/>
    <mergeCell ref="G16:G18"/>
    <mergeCell ref="H26:H28"/>
    <mergeCell ref="B11:B12"/>
    <mergeCell ref="D11:E11"/>
    <mergeCell ref="F11:F12"/>
    <mergeCell ref="D26:D28"/>
    <mergeCell ref="F26:F28"/>
    <mergeCell ref="B13:B15"/>
    <mergeCell ref="B19:B21"/>
    <mergeCell ref="G19:G21"/>
    <mergeCell ref="B16:B18"/>
    <mergeCell ref="B24:B25"/>
    <mergeCell ref="E24:F24"/>
    <mergeCell ref="G24:H24"/>
    <mergeCell ref="H19:H21"/>
    <mergeCell ref="C24:D24"/>
    <mergeCell ref="H16:H18"/>
    <mergeCell ref="I4:I5"/>
    <mergeCell ref="H4:H5"/>
    <mergeCell ref="O6:O8"/>
    <mergeCell ref="M6:M8"/>
    <mergeCell ref="I6:I8"/>
    <mergeCell ref="O4:O5"/>
    <mergeCell ref="J4:K4"/>
    <mergeCell ref="L4:L5"/>
    <mergeCell ref="M4:M5"/>
    <mergeCell ref="N4:N5"/>
    <mergeCell ref="J11:J12"/>
    <mergeCell ref="I11:I12"/>
    <mergeCell ref="D6:D8"/>
    <mergeCell ref="H11:H12"/>
    <mergeCell ref="B4:B5"/>
    <mergeCell ref="C4:C5"/>
    <mergeCell ref="D4:D5"/>
    <mergeCell ref="G13:G15"/>
    <mergeCell ref="E4:G4"/>
    <mergeCell ref="C11:C12"/>
    <mergeCell ref="G11:G12"/>
  </mergeCells>
  <phoneticPr fontId="2" type="noConversion"/>
  <pageMargins left="0.74803149606299213" right="0.74803149606299213" top="1.08" bottom="0.78740157480314965" header="0.51181102362204722" footer="0.51181102362204722"/>
  <pageSetup paperSize="9" scale="72" orientation="landscape" horizontalDpi="4294967293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16"/>
  <sheetViews>
    <sheetView view="pageBreakPreview" zoomScaleSheetLayoutView="100" workbookViewId="0">
      <selection activeCell="J8" sqref="J8"/>
    </sheetView>
  </sheetViews>
  <sheetFormatPr defaultRowHeight="13.5"/>
  <cols>
    <col min="1" max="1" width="7.77734375" customWidth="1"/>
    <col min="2" max="2" width="7.21875" customWidth="1"/>
    <col min="3" max="3" width="12.88671875" customWidth="1"/>
    <col min="4" max="4" width="31.109375" customWidth="1"/>
    <col min="5" max="5" width="7.33203125" customWidth="1"/>
    <col min="6" max="6" width="5.5546875" customWidth="1"/>
    <col min="7" max="7" width="13.77734375" customWidth="1"/>
    <col min="8" max="8" width="11.33203125" customWidth="1"/>
    <col min="9" max="9" width="10.21875" customWidth="1"/>
    <col min="10" max="10" width="5.88671875" customWidth="1"/>
  </cols>
  <sheetData>
    <row r="1" spans="1:10" ht="20.25" thickBot="1">
      <c r="A1" s="320" t="str">
        <f>'[1]개발(동일)'!A1</f>
        <v>▣ 개발실적</v>
      </c>
      <c r="B1" s="321"/>
      <c r="C1" s="320" t="str">
        <f>기술투자!B6</f>
        <v>oo엔지니어링</v>
      </c>
      <c r="D1" s="320"/>
      <c r="E1" s="320"/>
      <c r="F1" s="120"/>
      <c r="G1" s="539" t="s">
        <v>474</v>
      </c>
      <c r="H1" s="674">
        <v>42213</v>
      </c>
      <c r="I1" s="280"/>
      <c r="J1" s="120"/>
    </row>
    <row r="2" spans="1:10" ht="24">
      <c r="A2" s="541" t="s">
        <v>207</v>
      </c>
      <c r="B2" s="423" t="s">
        <v>208</v>
      </c>
      <c r="C2" s="423" t="s">
        <v>209</v>
      </c>
      <c r="D2" s="423" t="s">
        <v>475</v>
      </c>
      <c r="E2" s="423" t="s">
        <v>476</v>
      </c>
      <c r="F2" s="423" t="s">
        <v>477</v>
      </c>
      <c r="G2" s="423" t="s">
        <v>478</v>
      </c>
      <c r="H2" s="423" t="s">
        <v>210</v>
      </c>
      <c r="I2" s="423" t="s">
        <v>211</v>
      </c>
      <c r="J2" s="542" t="s">
        <v>174</v>
      </c>
    </row>
    <row r="3" spans="1:10" ht="22.5" customHeight="1">
      <c r="A3" s="581" t="s">
        <v>479</v>
      </c>
      <c r="B3" s="256"/>
      <c r="C3" s="256"/>
      <c r="D3" s="256"/>
      <c r="E3" s="272"/>
      <c r="F3" s="273"/>
      <c r="G3" s="274"/>
      <c r="H3" s="275"/>
      <c r="I3" s="276"/>
      <c r="J3" s="543"/>
    </row>
    <row r="4" spans="1:10" ht="22.5" customHeight="1">
      <c r="A4" s="1133" t="s">
        <v>480</v>
      </c>
      <c r="B4" s="1134"/>
      <c r="C4" s="1134"/>
      <c r="D4" s="1134"/>
      <c r="E4" s="1134"/>
      <c r="F4" s="1134"/>
      <c r="G4" s="1134"/>
      <c r="H4" s="1134"/>
      <c r="I4" s="1135"/>
      <c r="J4" s="544">
        <f>SUM(J3:J3)</f>
        <v>0</v>
      </c>
    </row>
    <row r="5" spans="1:10" ht="22.5" customHeight="1">
      <c r="A5" s="581" t="s">
        <v>481</v>
      </c>
      <c r="B5" s="256"/>
      <c r="C5" s="256"/>
      <c r="D5" s="256"/>
      <c r="E5" s="272"/>
      <c r="F5" s="277"/>
      <c r="G5" s="274"/>
      <c r="H5" s="275"/>
      <c r="I5" s="276"/>
      <c r="J5" s="543"/>
    </row>
    <row r="6" spans="1:10" ht="22.5" customHeight="1">
      <c r="A6" s="1133" t="s">
        <v>482</v>
      </c>
      <c r="B6" s="1134"/>
      <c r="C6" s="1134"/>
      <c r="D6" s="1134"/>
      <c r="E6" s="1134"/>
      <c r="F6" s="1134"/>
      <c r="G6" s="1134"/>
      <c r="H6" s="1134"/>
      <c r="I6" s="1135"/>
      <c r="J6" s="544">
        <f>SUM(J5:J5)</f>
        <v>0</v>
      </c>
    </row>
    <row r="7" spans="1:10" ht="75" customHeight="1">
      <c r="A7" s="675" t="s">
        <v>483</v>
      </c>
      <c r="B7" s="649">
        <v>1</v>
      </c>
      <c r="C7" s="632" t="s">
        <v>691</v>
      </c>
      <c r="D7" s="648" t="s">
        <v>691</v>
      </c>
      <c r="E7" s="676" t="s">
        <v>691</v>
      </c>
      <c r="F7" s="677">
        <v>1</v>
      </c>
      <c r="G7" s="678">
        <v>39850</v>
      </c>
      <c r="H7" s="679">
        <f>$H$1-G7</f>
        <v>2363</v>
      </c>
      <c r="I7" s="679">
        <v>47155</v>
      </c>
      <c r="J7" s="680">
        <f>1/F7</f>
        <v>1</v>
      </c>
    </row>
    <row r="8" spans="1:10" ht="75" customHeight="1">
      <c r="A8" s="675" t="s">
        <v>484</v>
      </c>
      <c r="B8" s="649">
        <v>2</v>
      </c>
      <c r="C8" s="632" t="s">
        <v>691</v>
      </c>
      <c r="D8" s="648" t="s">
        <v>691</v>
      </c>
      <c r="E8" s="676" t="s">
        <v>691</v>
      </c>
      <c r="F8" s="677">
        <v>1</v>
      </c>
      <c r="G8" s="678">
        <v>39850</v>
      </c>
      <c r="H8" s="679">
        <f>$H$1-G8</f>
        <v>2363</v>
      </c>
      <c r="I8" s="679">
        <v>47155</v>
      </c>
      <c r="J8" s="680">
        <f>1/F8</f>
        <v>1</v>
      </c>
    </row>
    <row r="9" spans="1:10" ht="22.5" customHeight="1">
      <c r="A9" s="1133" t="s">
        <v>485</v>
      </c>
      <c r="B9" s="1134"/>
      <c r="C9" s="1134"/>
      <c r="D9" s="1134"/>
      <c r="E9" s="1134"/>
      <c r="F9" s="1134"/>
      <c r="G9" s="1134"/>
      <c r="H9" s="1134"/>
      <c r="I9" s="1135"/>
      <c r="J9" s="544">
        <f>SUM(J7:J8)</f>
        <v>2</v>
      </c>
    </row>
    <row r="10" spans="1:10" ht="75" customHeight="1">
      <c r="A10" s="675"/>
      <c r="B10" s="649"/>
      <c r="C10" s="632"/>
      <c r="D10" s="648"/>
      <c r="E10" s="676"/>
      <c r="F10" s="677"/>
      <c r="G10" s="678"/>
      <c r="H10" s="679"/>
      <c r="I10" s="679"/>
      <c r="J10" s="680"/>
    </row>
    <row r="11" spans="1:10" ht="123.75" customHeight="1">
      <c r="A11" s="675"/>
      <c r="B11" s="649"/>
      <c r="C11" s="632"/>
      <c r="D11" s="648"/>
      <c r="E11" s="676"/>
      <c r="F11" s="677"/>
      <c r="G11" s="678"/>
      <c r="H11" s="679"/>
      <c r="I11" s="679"/>
      <c r="J11" s="680"/>
    </row>
    <row r="12" spans="1:10" ht="22.5" customHeight="1">
      <c r="A12" s="1133" t="s">
        <v>655</v>
      </c>
      <c r="B12" s="1134"/>
      <c r="C12" s="1134"/>
      <c r="D12" s="1134"/>
      <c r="E12" s="1134"/>
      <c r="F12" s="1134"/>
      <c r="G12" s="1134"/>
      <c r="H12" s="1134"/>
      <c r="I12" s="1135"/>
      <c r="J12" s="544">
        <f>SUM(J10:J11)</f>
        <v>0</v>
      </c>
    </row>
    <row r="13" spans="1:10" ht="22.5" customHeight="1">
      <c r="A13" s="581" t="s">
        <v>656</v>
      </c>
      <c r="B13" s="256"/>
      <c r="C13" s="256"/>
      <c r="D13" s="256"/>
      <c r="E13" s="272"/>
      <c r="F13" s="277"/>
      <c r="G13" s="274"/>
      <c r="H13" s="275"/>
      <c r="I13" s="276"/>
      <c r="J13" s="543"/>
    </row>
    <row r="14" spans="1:10" ht="22.5" customHeight="1">
      <c r="A14" s="1133" t="s">
        <v>657</v>
      </c>
      <c r="B14" s="1134"/>
      <c r="C14" s="1134"/>
      <c r="D14" s="1134"/>
      <c r="E14" s="1134"/>
      <c r="F14" s="1134"/>
      <c r="G14" s="1134"/>
      <c r="H14" s="1134"/>
      <c r="I14" s="1135"/>
      <c r="J14" s="544">
        <f>SUM(J13:J13)</f>
        <v>0</v>
      </c>
    </row>
    <row r="15" spans="1:10" ht="22.5" customHeight="1">
      <c r="A15" s="581" t="s">
        <v>216</v>
      </c>
      <c r="B15" s="256"/>
      <c r="C15" s="256"/>
      <c r="D15" s="256"/>
      <c r="E15" s="272"/>
      <c r="F15" s="277"/>
      <c r="G15" s="274"/>
      <c r="H15" s="275"/>
      <c r="I15" s="276"/>
      <c r="J15" s="543"/>
    </row>
    <row r="16" spans="1:10" ht="22.5" customHeight="1" thickBot="1">
      <c r="A16" s="1136" t="s">
        <v>263</v>
      </c>
      <c r="B16" s="1137"/>
      <c r="C16" s="1137"/>
      <c r="D16" s="1137"/>
      <c r="E16" s="1137"/>
      <c r="F16" s="1137"/>
      <c r="G16" s="1137"/>
      <c r="H16" s="1137"/>
      <c r="I16" s="1138"/>
      <c r="J16" s="545">
        <f>SUM(J15:J15)</f>
        <v>0</v>
      </c>
    </row>
  </sheetData>
  <mergeCells count="6">
    <mergeCell ref="A14:I14"/>
    <mergeCell ref="A16:I16"/>
    <mergeCell ref="A4:I4"/>
    <mergeCell ref="A6:I6"/>
    <mergeCell ref="A9:I9"/>
    <mergeCell ref="A12:I12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P157"/>
  <sheetViews>
    <sheetView showGridLines="0" view="pageBreakPreview" zoomScale="85" zoomScaleNormal="85" zoomScaleSheetLayoutView="85" workbookViewId="0">
      <selection activeCell="G9" sqref="G9"/>
    </sheetView>
  </sheetViews>
  <sheetFormatPr defaultRowHeight="12"/>
  <cols>
    <col min="1" max="1" width="17.109375" style="28" customWidth="1"/>
    <col min="2" max="2" width="15.77734375" style="28" customWidth="1"/>
    <col min="3" max="3" width="8.6640625" style="70" customWidth="1"/>
    <col min="4" max="4" width="17.21875" style="28" customWidth="1"/>
    <col min="5" max="7" width="16.88671875" style="28" customWidth="1"/>
    <col min="8" max="9" width="16.6640625" style="28" bestFit="1" customWidth="1"/>
    <col min="10" max="10" width="8.88671875" style="13"/>
    <col min="11" max="11" width="20.5546875" style="13" bestFit="1" customWidth="1"/>
    <col min="12" max="12" width="18.44140625" style="13" bestFit="1" customWidth="1"/>
    <col min="13" max="16384" width="8.88671875" style="13"/>
  </cols>
  <sheetData>
    <row r="1" spans="1:9" ht="21" customHeight="1" thickBot="1">
      <c r="A1" s="871" t="s">
        <v>274</v>
      </c>
      <c r="B1" s="871"/>
      <c r="C1" s="872"/>
      <c r="D1" s="872"/>
      <c r="E1" s="27"/>
      <c r="F1" s="876"/>
      <c r="G1" s="876"/>
      <c r="I1" s="27"/>
    </row>
    <row r="2" spans="1:9" ht="21.75" customHeight="1">
      <c r="A2" s="437" t="s">
        <v>185</v>
      </c>
      <c r="B2" s="357" t="s">
        <v>91</v>
      </c>
      <c r="C2" s="358" t="s">
        <v>276</v>
      </c>
      <c r="D2" s="359" t="s">
        <v>88</v>
      </c>
      <c r="E2" s="360" t="s">
        <v>278</v>
      </c>
      <c r="F2" s="883" t="s">
        <v>292</v>
      </c>
      <c r="G2" s="883"/>
      <c r="H2" s="34" t="s">
        <v>297</v>
      </c>
      <c r="I2" s="34" t="s">
        <v>298</v>
      </c>
    </row>
    <row r="3" spans="1:9" ht="17.25" customHeight="1" thickBot="1">
      <c r="A3" s="873" t="s">
        <v>315</v>
      </c>
      <c r="B3" s="361" t="s">
        <v>186</v>
      </c>
      <c r="C3" s="561" t="s">
        <v>405</v>
      </c>
      <c r="D3" s="363">
        <v>0.3</v>
      </c>
      <c r="E3" s="856">
        <f>COUNTA(C3:C8)*2+1</f>
        <v>13</v>
      </c>
      <c r="F3" s="368" t="s">
        <v>293</v>
      </c>
      <c r="G3" s="371">
        <v>1500000</v>
      </c>
      <c r="H3" s="348">
        <v>150</v>
      </c>
      <c r="I3" s="350">
        <v>1</v>
      </c>
    </row>
    <row r="4" spans="1:9" ht="17.25" customHeight="1" thickBot="1">
      <c r="A4" s="874"/>
      <c r="B4" s="361" t="s">
        <v>187</v>
      </c>
      <c r="C4" s="561" t="s">
        <v>563</v>
      </c>
      <c r="D4" s="363">
        <v>0.1</v>
      </c>
      <c r="E4" s="857"/>
      <c r="F4" s="354" t="s">
        <v>294</v>
      </c>
      <c r="G4" s="374">
        <v>354000</v>
      </c>
      <c r="H4" s="370">
        <v>200</v>
      </c>
      <c r="I4" s="351">
        <v>0.93</v>
      </c>
    </row>
    <row r="5" spans="1:9" ht="18" customHeight="1" thickBot="1">
      <c r="A5" s="874"/>
      <c r="B5" s="361" t="s">
        <v>188</v>
      </c>
      <c r="C5" s="561" t="s">
        <v>562</v>
      </c>
      <c r="D5" s="363">
        <v>0.25</v>
      </c>
      <c r="E5" s="857"/>
      <c r="F5" s="354" t="s">
        <v>295</v>
      </c>
      <c r="G5" s="372">
        <f>IF(G3&gt;G4,100%,G3/G4)</f>
        <v>1</v>
      </c>
      <c r="H5" s="349">
        <v>300</v>
      </c>
      <c r="I5" s="351">
        <v>0.86</v>
      </c>
    </row>
    <row r="6" spans="1:9" ht="17.25" customHeight="1" thickBot="1">
      <c r="A6" s="874"/>
      <c r="B6" s="361" t="s">
        <v>189</v>
      </c>
      <c r="C6" s="561" t="s">
        <v>547</v>
      </c>
      <c r="D6" s="363">
        <v>0.1</v>
      </c>
      <c r="E6" s="857"/>
      <c r="F6" s="354" t="s">
        <v>296</v>
      </c>
      <c r="G6" s="375">
        <v>1505779</v>
      </c>
      <c r="H6" s="370">
        <v>500</v>
      </c>
      <c r="I6" s="351">
        <v>0.78</v>
      </c>
    </row>
    <row r="7" spans="1:9" ht="17.25" customHeight="1">
      <c r="A7" s="874"/>
      <c r="B7" s="362" t="s">
        <v>190</v>
      </c>
      <c r="C7" s="561" t="s">
        <v>548</v>
      </c>
      <c r="D7" s="363">
        <v>0.15</v>
      </c>
      <c r="E7" s="857"/>
      <c r="F7" s="354" t="s">
        <v>292</v>
      </c>
      <c r="G7" s="373">
        <f>G6*G5</f>
        <v>1505779</v>
      </c>
      <c r="H7" s="349">
        <v>1000</v>
      </c>
      <c r="I7" s="351">
        <v>0.73</v>
      </c>
    </row>
    <row r="8" spans="1:9" ht="17.25" customHeight="1">
      <c r="A8" s="874"/>
      <c r="B8" s="362" t="s">
        <v>695</v>
      </c>
      <c r="C8" s="561" t="s">
        <v>696</v>
      </c>
      <c r="D8" s="363">
        <v>0.1</v>
      </c>
      <c r="E8" s="857"/>
      <c r="F8" s="353" t="s">
        <v>298</v>
      </c>
      <c r="G8" s="369">
        <f>I9</f>
        <v>1</v>
      </c>
      <c r="H8" s="365">
        <v>2000</v>
      </c>
      <c r="I8" s="352">
        <v>0.71</v>
      </c>
    </row>
    <row r="9" spans="1:9" ht="17.25" customHeight="1" thickBot="1">
      <c r="A9" s="875"/>
      <c r="B9" s="881" t="s">
        <v>300</v>
      </c>
      <c r="C9" s="882"/>
      <c r="D9" s="364">
        <f>SUM(D3:D8)</f>
        <v>1</v>
      </c>
      <c r="E9" s="858"/>
      <c r="F9" s="367" t="s">
        <v>307</v>
      </c>
      <c r="G9" s="347">
        <f>G7/G8</f>
        <v>1505779</v>
      </c>
      <c r="H9" s="366" t="s">
        <v>299</v>
      </c>
      <c r="I9" s="378">
        <f>IF(G4/10000&lt;=H3,I3,IF((G4/10000)&lt;H4,I4+(H4-G4/10000)*((I3-I4)/(H4-H3)),IF(G4/10000&lt;H5,I5+(H5-G4/10000)*((I4-I5)/(H5-H4)),IF(G4/10000&lt;H6,I6+(H6-G4/10000)*((I5-I6)/(H6-H5)),IF(G4/10000&lt;H7,I7+(H7-G4/10000)*((I6-I7)/(H7-H6)),I8)))))</f>
        <v>1</v>
      </c>
    </row>
    <row r="10" spans="1:9" ht="18.75" customHeight="1">
      <c r="A10" s="29" t="s">
        <v>311</v>
      </c>
      <c r="B10" s="33" t="s">
        <v>86</v>
      </c>
      <c r="C10" s="355" t="s">
        <v>202</v>
      </c>
      <c r="D10" s="356" t="s">
        <v>91</v>
      </c>
      <c r="E10" s="356" t="s">
        <v>102</v>
      </c>
      <c r="F10" s="356" t="s">
        <v>103</v>
      </c>
      <c r="G10" s="33" t="s">
        <v>104</v>
      </c>
      <c r="H10" s="33" t="s">
        <v>105</v>
      </c>
      <c r="I10" s="34" t="s">
        <v>106</v>
      </c>
    </row>
    <row r="11" spans="1:9" ht="14.25" customHeight="1">
      <c r="A11" s="877" t="s">
        <v>82</v>
      </c>
      <c r="B11" s="861" t="s">
        <v>382</v>
      </c>
      <c r="C11" s="867">
        <v>3</v>
      </c>
      <c r="D11" s="30" t="s">
        <v>93</v>
      </c>
      <c r="E11" s="30" t="s">
        <v>94</v>
      </c>
      <c r="F11" s="30" t="s">
        <v>95</v>
      </c>
      <c r="G11" s="30" t="s">
        <v>96</v>
      </c>
      <c r="H11" s="35"/>
      <c r="I11" s="35"/>
    </row>
    <row r="12" spans="1:9" ht="14.25" customHeight="1">
      <c r="A12" s="878"/>
      <c r="B12" s="880"/>
      <c r="C12" s="862"/>
      <c r="D12" s="36" t="s">
        <v>87</v>
      </c>
      <c r="E12" s="37">
        <f>C11</f>
        <v>3</v>
      </c>
      <c r="F12" s="37">
        <v>2</v>
      </c>
      <c r="G12" s="37">
        <v>1</v>
      </c>
      <c r="H12" s="38"/>
      <c r="I12" s="38"/>
    </row>
    <row r="13" spans="1:9" ht="14.25" customHeight="1">
      <c r="A13" s="878"/>
      <c r="B13" s="869" t="s">
        <v>377</v>
      </c>
      <c r="C13" s="863">
        <v>0</v>
      </c>
      <c r="D13" s="31" t="s">
        <v>89</v>
      </c>
      <c r="E13" s="31" t="s">
        <v>131</v>
      </c>
      <c r="F13" s="31" t="s">
        <v>133</v>
      </c>
      <c r="G13" s="31" t="s">
        <v>134</v>
      </c>
      <c r="H13" s="31" t="s">
        <v>135</v>
      </c>
      <c r="I13" s="32" t="s">
        <v>136</v>
      </c>
    </row>
    <row r="14" spans="1:9" ht="14.25" customHeight="1">
      <c r="A14" s="878"/>
      <c r="B14" s="870"/>
      <c r="C14" s="864"/>
      <c r="D14" s="36" t="s">
        <v>87</v>
      </c>
      <c r="E14" s="37">
        <f>$C$13</f>
        <v>0</v>
      </c>
      <c r="F14" s="37">
        <f>$C$13*0.8</f>
        <v>0</v>
      </c>
      <c r="G14" s="37">
        <f>$C$13*0.6</f>
        <v>0</v>
      </c>
      <c r="H14" s="37">
        <f>$C$13*0.4</f>
        <v>0</v>
      </c>
      <c r="I14" s="37">
        <f>$C$13*0.2</f>
        <v>0</v>
      </c>
    </row>
    <row r="15" spans="1:9" ht="14.25" customHeight="1">
      <c r="A15" s="878"/>
      <c r="B15" s="869" t="s">
        <v>378</v>
      </c>
      <c r="C15" s="863">
        <v>0</v>
      </c>
      <c r="D15" s="31" t="s">
        <v>89</v>
      </c>
      <c r="E15" s="31" t="s">
        <v>131</v>
      </c>
      <c r="F15" s="31" t="s">
        <v>133</v>
      </c>
      <c r="G15" s="31" t="s">
        <v>134</v>
      </c>
      <c r="H15" s="31" t="s">
        <v>135</v>
      </c>
      <c r="I15" s="32" t="s">
        <v>136</v>
      </c>
    </row>
    <row r="16" spans="1:9" ht="14.25" customHeight="1">
      <c r="A16" s="879"/>
      <c r="B16" s="870"/>
      <c r="C16" s="864"/>
      <c r="D16" s="36" t="s">
        <v>87</v>
      </c>
      <c r="E16" s="37">
        <f>$C$15</f>
        <v>0</v>
      </c>
      <c r="F16" s="37">
        <f>$C$15*0.8</f>
        <v>0</v>
      </c>
      <c r="G16" s="37">
        <f>$C$15*0.6</f>
        <v>0</v>
      </c>
      <c r="H16" s="37">
        <f>$C$15*0.4</f>
        <v>0</v>
      </c>
      <c r="I16" s="37">
        <f>$C$15*0.2</f>
        <v>0</v>
      </c>
    </row>
    <row r="17" spans="1:16" ht="14.25" customHeight="1">
      <c r="A17" s="895" t="s">
        <v>118</v>
      </c>
      <c r="B17" s="869" t="s">
        <v>107</v>
      </c>
      <c r="C17" s="863">
        <v>4</v>
      </c>
      <c r="D17" s="31" t="s">
        <v>93</v>
      </c>
      <c r="E17" s="31" t="s">
        <v>94</v>
      </c>
      <c r="F17" s="31" t="s">
        <v>95</v>
      </c>
      <c r="G17" s="31" t="s">
        <v>96</v>
      </c>
      <c r="H17" s="46"/>
      <c r="I17" s="46"/>
    </row>
    <row r="18" spans="1:16" ht="14.25" customHeight="1">
      <c r="A18" s="898"/>
      <c r="B18" s="897"/>
      <c r="C18" s="868"/>
      <c r="D18" s="36" t="s">
        <v>87</v>
      </c>
      <c r="E18" s="47">
        <f>C17</f>
        <v>4</v>
      </c>
      <c r="F18" s="47">
        <v>4</v>
      </c>
      <c r="G18" s="47">
        <v>3</v>
      </c>
      <c r="H18" s="46"/>
      <c r="I18" s="46"/>
    </row>
    <row r="19" spans="1:16" ht="14.25" customHeight="1">
      <c r="A19" s="898"/>
      <c r="B19" s="897"/>
      <c r="C19" s="868"/>
      <c r="D19" s="36" t="str">
        <f t="shared" ref="D19:D24" si="0">C3</f>
        <v>도시계획</v>
      </c>
      <c r="E19" s="48">
        <f>E18*$D$3</f>
        <v>1.2</v>
      </c>
      <c r="F19" s="48">
        <f>F18*$D$3</f>
        <v>1.2</v>
      </c>
      <c r="G19" s="48">
        <f>G18*$D$3</f>
        <v>0.89999999999999991</v>
      </c>
      <c r="H19" s="46"/>
      <c r="I19" s="46"/>
    </row>
    <row r="20" spans="1:16" ht="14.25" customHeight="1">
      <c r="A20" s="898"/>
      <c r="B20" s="897"/>
      <c r="C20" s="868"/>
      <c r="D20" s="36" t="str">
        <f t="shared" si="0"/>
        <v>토질지질</v>
      </c>
      <c r="E20" s="48">
        <f>E18*$D$4</f>
        <v>0.4</v>
      </c>
      <c r="F20" s="48">
        <f>F18*$D$4</f>
        <v>0.4</v>
      </c>
      <c r="G20" s="48">
        <f>G18*$D$4</f>
        <v>0.30000000000000004</v>
      </c>
      <c r="H20" s="46"/>
      <c r="I20" s="46"/>
    </row>
    <row r="21" spans="1:16" ht="14.25" customHeight="1">
      <c r="A21" s="898"/>
      <c r="B21" s="897"/>
      <c r="C21" s="868"/>
      <c r="D21" s="36" t="str">
        <f t="shared" si="0"/>
        <v>도로공항</v>
      </c>
      <c r="E21" s="48">
        <f>E18*$D$5</f>
        <v>1</v>
      </c>
      <c r="F21" s="48">
        <f>F18*$D$5</f>
        <v>1</v>
      </c>
      <c r="G21" s="48">
        <f>G18*$D$5</f>
        <v>0.75</v>
      </c>
      <c r="H21" s="46"/>
      <c r="I21" s="46"/>
    </row>
    <row r="22" spans="1:16" ht="14.25" customHeight="1">
      <c r="A22" s="898"/>
      <c r="B22" s="897"/>
      <c r="C22" s="868"/>
      <c r="D22" s="36" t="str">
        <f t="shared" si="0"/>
        <v>토목구조</v>
      </c>
      <c r="E22" s="48">
        <f>E18*$D$6</f>
        <v>0.4</v>
      </c>
      <c r="F22" s="48">
        <f>F18*$D$6</f>
        <v>0.4</v>
      </c>
      <c r="G22" s="48">
        <f>G18*$D$6</f>
        <v>0.30000000000000004</v>
      </c>
      <c r="H22" s="46"/>
      <c r="I22" s="46"/>
    </row>
    <row r="23" spans="1:16" ht="14.25" customHeight="1">
      <c r="A23" s="898"/>
      <c r="B23" s="897"/>
      <c r="C23" s="868"/>
      <c r="D23" s="36" t="str">
        <f t="shared" si="0"/>
        <v>상하수도</v>
      </c>
      <c r="E23" s="48">
        <f>E18*$D$7</f>
        <v>0.6</v>
      </c>
      <c r="F23" s="48">
        <f>F18*$D$7</f>
        <v>0.6</v>
      </c>
      <c r="G23" s="48">
        <f>G18*$D$7</f>
        <v>0.44999999999999996</v>
      </c>
      <c r="H23" s="46"/>
      <c r="I23" s="46"/>
      <c r="P23" s="13" t="e">
        <f>기술투자!#REF!</f>
        <v>#REF!</v>
      </c>
    </row>
    <row r="24" spans="1:16" ht="14.25" customHeight="1">
      <c r="A24" s="746"/>
      <c r="B24" s="747"/>
      <c r="C24" s="864"/>
      <c r="D24" s="750" t="str">
        <f t="shared" si="0"/>
        <v>조경</v>
      </c>
      <c r="E24" s="48">
        <f>E18*$D$8</f>
        <v>0.4</v>
      </c>
      <c r="F24" s="48">
        <f>F18*$D$8</f>
        <v>0.4</v>
      </c>
      <c r="G24" s="48">
        <f>G18*$D$8</f>
        <v>0.30000000000000004</v>
      </c>
      <c r="H24" s="46"/>
      <c r="I24" s="46"/>
    </row>
    <row r="25" spans="1:16" ht="14.25" customHeight="1">
      <c r="A25" s="895" t="s">
        <v>119</v>
      </c>
      <c r="B25" s="869" t="s">
        <v>107</v>
      </c>
      <c r="C25" s="863">
        <v>4</v>
      </c>
      <c r="D25" s="31" t="s">
        <v>93</v>
      </c>
      <c r="E25" s="31" t="s">
        <v>94</v>
      </c>
      <c r="F25" s="31" t="s">
        <v>95</v>
      </c>
      <c r="G25" s="31" t="s">
        <v>96</v>
      </c>
      <c r="H25" s="46"/>
      <c r="I25" s="46"/>
      <c r="J25" s="13" t="s">
        <v>414</v>
      </c>
    </row>
    <row r="26" spans="1:16" ht="14.25" customHeight="1">
      <c r="A26" s="898"/>
      <c r="B26" s="897"/>
      <c r="C26" s="868"/>
      <c r="D26" s="36" t="s">
        <v>87</v>
      </c>
      <c r="E26" s="47">
        <f>C25</f>
        <v>4</v>
      </c>
      <c r="F26" s="47">
        <f>C25</f>
        <v>4</v>
      </c>
      <c r="G26" s="47">
        <v>4</v>
      </c>
      <c r="H26" s="46"/>
      <c r="I26" s="46"/>
    </row>
    <row r="27" spans="1:16" ht="14.25" customHeight="1">
      <c r="A27" s="898"/>
      <c r="B27" s="897"/>
      <c r="C27" s="868"/>
      <c r="D27" s="36" t="str">
        <f t="shared" ref="D27:D32" si="1">D19</f>
        <v>도시계획</v>
      </c>
      <c r="E27" s="48">
        <f>E26*$D$3</f>
        <v>1.2</v>
      </c>
      <c r="F27" s="48">
        <f>F26*$D$3</f>
        <v>1.2</v>
      </c>
      <c r="G27" s="48">
        <f>G26*$D$3</f>
        <v>1.2</v>
      </c>
      <c r="H27" s="46"/>
      <c r="I27" s="46"/>
    </row>
    <row r="28" spans="1:16" ht="14.25" customHeight="1">
      <c r="A28" s="898"/>
      <c r="B28" s="897"/>
      <c r="C28" s="868"/>
      <c r="D28" s="36" t="str">
        <f t="shared" si="1"/>
        <v>토질지질</v>
      </c>
      <c r="E28" s="48">
        <f>E26*$D$4</f>
        <v>0.4</v>
      </c>
      <c r="F28" s="48">
        <f>F26*$D$4</f>
        <v>0.4</v>
      </c>
      <c r="G28" s="48">
        <f>G26*$D$4</f>
        <v>0.4</v>
      </c>
      <c r="H28" s="46"/>
      <c r="I28" s="46"/>
    </row>
    <row r="29" spans="1:16" ht="14.25" customHeight="1">
      <c r="A29" s="898"/>
      <c r="B29" s="897"/>
      <c r="C29" s="868"/>
      <c r="D29" s="36" t="str">
        <f t="shared" si="1"/>
        <v>도로공항</v>
      </c>
      <c r="E29" s="48">
        <f>E26*$D$5</f>
        <v>1</v>
      </c>
      <c r="F29" s="48">
        <f>F26*$D$5</f>
        <v>1</v>
      </c>
      <c r="G29" s="48">
        <f>G26*$D$5</f>
        <v>1</v>
      </c>
      <c r="H29" s="46"/>
      <c r="I29" s="46"/>
    </row>
    <row r="30" spans="1:16" ht="14.25" customHeight="1">
      <c r="A30" s="898"/>
      <c r="B30" s="897"/>
      <c r="C30" s="868"/>
      <c r="D30" s="36" t="str">
        <f t="shared" si="1"/>
        <v>토목구조</v>
      </c>
      <c r="E30" s="48">
        <f>E26*$D$6</f>
        <v>0.4</v>
      </c>
      <c r="F30" s="48">
        <f>F26*$D$6</f>
        <v>0.4</v>
      </c>
      <c r="G30" s="48">
        <f>G26*$D$6</f>
        <v>0.4</v>
      </c>
      <c r="H30" s="46"/>
      <c r="I30" s="46"/>
    </row>
    <row r="31" spans="1:16" ht="14.25" customHeight="1">
      <c r="A31" s="898"/>
      <c r="B31" s="897"/>
      <c r="C31" s="868"/>
      <c r="D31" s="36" t="str">
        <f t="shared" si="1"/>
        <v>상하수도</v>
      </c>
      <c r="E31" s="48">
        <f>E26*$D$7</f>
        <v>0.6</v>
      </c>
      <c r="F31" s="48">
        <f>F26*$D$7</f>
        <v>0.6</v>
      </c>
      <c r="G31" s="48">
        <f>G26*$D$7</f>
        <v>0.6</v>
      </c>
      <c r="H31" s="46"/>
      <c r="I31" s="46"/>
    </row>
    <row r="32" spans="1:16" ht="14.25" customHeight="1">
      <c r="A32" s="746"/>
      <c r="B32" s="747"/>
      <c r="C32" s="864"/>
      <c r="D32" s="750" t="str">
        <f t="shared" si="1"/>
        <v>조경</v>
      </c>
      <c r="E32" s="48">
        <f>E26*$D$8</f>
        <v>0.4</v>
      </c>
      <c r="F32" s="48">
        <f>F26*$D$8</f>
        <v>0.4</v>
      </c>
      <c r="G32" s="48">
        <f>G26*$D$8</f>
        <v>0.4</v>
      </c>
      <c r="H32" s="46"/>
      <c r="I32" s="46"/>
    </row>
    <row r="33" spans="1:9" ht="14.25" customHeight="1">
      <c r="A33" s="895" t="s">
        <v>82</v>
      </c>
      <c r="B33" s="880" t="s">
        <v>379</v>
      </c>
      <c r="C33" s="862">
        <v>4</v>
      </c>
      <c r="D33" s="31" t="s">
        <v>97</v>
      </c>
      <c r="E33" s="39">
        <v>15</v>
      </c>
      <c r="F33" s="39">
        <v>13</v>
      </c>
      <c r="G33" s="39">
        <v>11</v>
      </c>
      <c r="H33" s="39">
        <v>9</v>
      </c>
      <c r="I33" s="40">
        <v>9</v>
      </c>
    </row>
    <row r="34" spans="1:9" ht="14.25" customHeight="1">
      <c r="A34" s="898"/>
      <c r="B34" s="880"/>
      <c r="C34" s="862"/>
      <c r="D34" s="36" t="s">
        <v>87</v>
      </c>
      <c r="E34" s="44">
        <f>$C$33*1</f>
        <v>4</v>
      </c>
      <c r="F34" s="37">
        <f>$C$33*0.9</f>
        <v>3.6</v>
      </c>
      <c r="G34" s="37">
        <f>$C$33*0.8</f>
        <v>3.2</v>
      </c>
      <c r="H34" s="37">
        <f>$C$33*0.7</f>
        <v>2.8</v>
      </c>
      <c r="I34" s="37">
        <f>$C$33*0.6</f>
        <v>2.4</v>
      </c>
    </row>
    <row r="35" spans="1:9" ht="14.25" customHeight="1">
      <c r="A35" s="898"/>
      <c r="B35" s="880" t="s">
        <v>380</v>
      </c>
      <c r="C35" s="862">
        <v>8</v>
      </c>
      <c r="D35" s="31" t="s">
        <v>98</v>
      </c>
      <c r="E35" s="42">
        <v>8</v>
      </c>
      <c r="F35" s="42">
        <v>7</v>
      </c>
      <c r="G35" s="42">
        <v>6</v>
      </c>
      <c r="H35" s="42">
        <v>5</v>
      </c>
      <c r="I35" s="43">
        <v>5</v>
      </c>
    </row>
    <row r="36" spans="1:9" ht="14.25" customHeight="1">
      <c r="A36" s="898"/>
      <c r="B36" s="880"/>
      <c r="C36" s="862"/>
      <c r="D36" s="36" t="s">
        <v>87</v>
      </c>
      <c r="E36" s="44">
        <f>$C$35*1</f>
        <v>8</v>
      </c>
      <c r="F36" s="44">
        <f>$C$35*0.9</f>
        <v>7.2</v>
      </c>
      <c r="G36" s="44">
        <f>$C$35*0.8</f>
        <v>6.4</v>
      </c>
      <c r="H36" s="44">
        <f>$C$35*0.7</f>
        <v>5.6</v>
      </c>
      <c r="I36" s="45">
        <f>$C$35*0.6</f>
        <v>4.8</v>
      </c>
    </row>
    <row r="37" spans="1:9" ht="14.25" customHeight="1">
      <c r="A37" s="898"/>
      <c r="B37" s="869" t="s">
        <v>381</v>
      </c>
      <c r="C37" s="859">
        <v>1</v>
      </c>
      <c r="D37" s="31" t="s">
        <v>125</v>
      </c>
      <c r="E37" s="31" t="s">
        <v>301</v>
      </c>
      <c r="F37" s="31" t="s">
        <v>302</v>
      </c>
      <c r="G37" s="869" t="s">
        <v>303</v>
      </c>
      <c r="H37" s="32" t="s">
        <v>82</v>
      </c>
      <c r="I37" s="377">
        <v>1</v>
      </c>
    </row>
    <row r="38" spans="1:9" ht="14.25" customHeight="1">
      <c r="A38" s="896"/>
      <c r="B38" s="870"/>
      <c r="C38" s="859"/>
      <c r="D38" s="51" t="s">
        <v>88</v>
      </c>
      <c r="E38" s="58">
        <v>1</v>
      </c>
      <c r="F38" s="441">
        <v>0.5</v>
      </c>
      <c r="G38" s="870"/>
      <c r="H38" s="32" t="s">
        <v>304</v>
      </c>
      <c r="I38" s="377">
        <v>0.7</v>
      </c>
    </row>
    <row r="39" spans="1:9" ht="14.25" customHeight="1">
      <c r="A39" s="895" t="s">
        <v>118</v>
      </c>
      <c r="B39" s="869" t="s">
        <v>108</v>
      </c>
      <c r="C39" s="863">
        <v>7</v>
      </c>
      <c r="D39" s="31" t="s">
        <v>97</v>
      </c>
      <c r="E39" s="39">
        <v>10</v>
      </c>
      <c r="F39" s="39">
        <v>8</v>
      </c>
      <c r="G39" s="39">
        <v>6</v>
      </c>
      <c r="H39" s="39">
        <v>4</v>
      </c>
      <c r="I39" s="40">
        <v>4</v>
      </c>
    </row>
    <row r="40" spans="1:9" ht="14.25" customHeight="1">
      <c r="A40" s="898"/>
      <c r="B40" s="897"/>
      <c r="C40" s="868"/>
      <c r="D40" s="36" t="s">
        <v>87</v>
      </c>
      <c r="E40" s="47">
        <f>C39</f>
        <v>7</v>
      </c>
      <c r="F40" s="47">
        <f>$C$39*0.9</f>
        <v>6.3</v>
      </c>
      <c r="G40" s="47">
        <f>$C$39*0.8</f>
        <v>5.6000000000000005</v>
      </c>
      <c r="H40" s="47">
        <f>$C$39*0.7</f>
        <v>4.8999999999999995</v>
      </c>
      <c r="I40" s="49">
        <f>$C$39*0.6</f>
        <v>4.2</v>
      </c>
    </row>
    <row r="41" spans="1:9" ht="14.25" customHeight="1">
      <c r="A41" s="898"/>
      <c r="B41" s="897"/>
      <c r="C41" s="868"/>
      <c r="D41" s="36" t="str">
        <f t="shared" ref="D41:D46" si="2">D19</f>
        <v>도시계획</v>
      </c>
      <c r="E41" s="48">
        <f>E40*$D$3</f>
        <v>2.1</v>
      </c>
      <c r="F41" s="48">
        <f>F40*$D$3</f>
        <v>1.89</v>
      </c>
      <c r="G41" s="48">
        <f>G40*$D$3</f>
        <v>1.6800000000000002</v>
      </c>
      <c r="H41" s="48">
        <f>H40*$D$3</f>
        <v>1.4699999999999998</v>
      </c>
      <c r="I41" s="50">
        <f>I40*$D$3</f>
        <v>1.26</v>
      </c>
    </row>
    <row r="42" spans="1:9" ht="14.25" customHeight="1">
      <c r="A42" s="898"/>
      <c r="B42" s="897"/>
      <c r="C42" s="868"/>
      <c r="D42" s="51" t="str">
        <f t="shared" si="2"/>
        <v>토질지질</v>
      </c>
      <c r="E42" s="48">
        <f>E40*$D$4</f>
        <v>0.70000000000000007</v>
      </c>
      <c r="F42" s="48">
        <f>F40*$D$4</f>
        <v>0.63</v>
      </c>
      <c r="G42" s="48">
        <f>G40*$D$4</f>
        <v>0.56000000000000005</v>
      </c>
      <c r="H42" s="48">
        <f>H40*$D$4</f>
        <v>0.49</v>
      </c>
      <c r="I42" s="50">
        <f>I40*$D$4</f>
        <v>0.42000000000000004</v>
      </c>
    </row>
    <row r="43" spans="1:9" ht="14.25" customHeight="1">
      <c r="A43" s="898"/>
      <c r="B43" s="897"/>
      <c r="C43" s="868"/>
      <c r="D43" s="51" t="str">
        <f t="shared" si="2"/>
        <v>도로공항</v>
      </c>
      <c r="E43" s="48">
        <f>E40*$D$5</f>
        <v>1.75</v>
      </c>
      <c r="F43" s="48">
        <f>F40*$D$5</f>
        <v>1.575</v>
      </c>
      <c r="G43" s="48">
        <f>G40*$D$5</f>
        <v>1.4000000000000001</v>
      </c>
      <c r="H43" s="48">
        <f>H40*$D$5</f>
        <v>1.2249999999999999</v>
      </c>
      <c r="I43" s="50">
        <f>I40*$D$5</f>
        <v>1.05</v>
      </c>
    </row>
    <row r="44" spans="1:9" ht="14.25" customHeight="1">
      <c r="A44" s="898"/>
      <c r="B44" s="897"/>
      <c r="C44" s="868"/>
      <c r="D44" s="51" t="str">
        <f t="shared" si="2"/>
        <v>토목구조</v>
      </c>
      <c r="E44" s="48">
        <f>E40*$D$6</f>
        <v>0.70000000000000007</v>
      </c>
      <c r="F44" s="48">
        <f>F40*$D$6</f>
        <v>0.63</v>
      </c>
      <c r="G44" s="48">
        <f>G40*$D$6</f>
        <v>0.56000000000000005</v>
      </c>
      <c r="H44" s="48">
        <f>H40*$D$6</f>
        <v>0.49</v>
      </c>
      <c r="I44" s="50">
        <f>I40*$D$6</f>
        <v>0.42000000000000004</v>
      </c>
    </row>
    <row r="45" spans="1:9" ht="14.25" customHeight="1">
      <c r="A45" s="898"/>
      <c r="B45" s="897"/>
      <c r="C45" s="868"/>
      <c r="D45" s="51" t="str">
        <f t="shared" si="2"/>
        <v>상하수도</v>
      </c>
      <c r="E45" s="48">
        <f>E40*$D$7</f>
        <v>1.05</v>
      </c>
      <c r="F45" s="48">
        <f>F40*$D$7</f>
        <v>0.94499999999999995</v>
      </c>
      <c r="G45" s="48">
        <f>G40*$D$7</f>
        <v>0.84000000000000008</v>
      </c>
      <c r="H45" s="48">
        <f>H40*$D$7</f>
        <v>0.73499999999999988</v>
      </c>
      <c r="I45" s="50">
        <f>I40*$D$7</f>
        <v>0.63</v>
      </c>
    </row>
    <row r="46" spans="1:9" ht="14.25" customHeight="1">
      <c r="A46" s="898"/>
      <c r="B46" s="870"/>
      <c r="C46" s="864"/>
      <c r="D46" s="751" t="str">
        <f t="shared" si="2"/>
        <v>조경</v>
      </c>
      <c r="E46" s="48">
        <f>E40*$D$8</f>
        <v>0.70000000000000007</v>
      </c>
      <c r="F46" s="48">
        <f>F40*$D$8</f>
        <v>0.63</v>
      </c>
      <c r="G46" s="48">
        <f>G40*$D$8</f>
        <v>0.56000000000000005</v>
      </c>
      <c r="H46" s="48">
        <f>H40*$D$8</f>
        <v>0.49</v>
      </c>
      <c r="I46" s="50">
        <f>I40*$D$8</f>
        <v>0.42000000000000004</v>
      </c>
    </row>
    <row r="47" spans="1:9" ht="14.25" customHeight="1">
      <c r="A47" s="898"/>
      <c r="B47" s="869" t="s">
        <v>177</v>
      </c>
      <c r="C47" s="863">
        <v>8</v>
      </c>
      <c r="D47" s="31" t="s">
        <v>98</v>
      </c>
      <c r="E47" s="42">
        <v>6</v>
      </c>
      <c r="F47" s="42">
        <v>5</v>
      </c>
      <c r="G47" s="42">
        <v>4</v>
      </c>
      <c r="H47" s="42">
        <v>3</v>
      </c>
      <c r="I47" s="43">
        <v>3</v>
      </c>
    </row>
    <row r="48" spans="1:9" ht="14.25" customHeight="1">
      <c r="A48" s="898"/>
      <c r="B48" s="897"/>
      <c r="C48" s="868"/>
      <c r="D48" s="36" t="s">
        <v>87</v>
      </c>
      <c r="E48" s="47">
        <f>C47</f>
        <v>8</v>
      </c>
      <c r="F48" s="47">
        <f>$C$47*0.9</f>
        <v>7.2</v>
      </c>
      <c r="G48" s="47">
        <f>$C$47*0.8</f>
        <v>6.4</v>
      </c>
      <c r="H48" s="47">
        <f>$C$47*0.7</f>
        <v>5.6</v>
      </c>
      <c r="I48" s="49">
        <f>$C$47*0.6</f>
        <v>4.8</v>
      </c>
    </row>
    <row r="49" spans="1:9" ht="14.25" customHeight="1">
      <c r="A49" s="898"/>
      <c r="B49" s="897"/>
      <c r="C49" s="868"/>
      <c r="D49" s="51" t="str">
        <f t="shared" ref="D49:D54" si="3">D19</f>
        <v>도시계획</v>
      </c>
      <c r="E49" s="48">
        <f>E48*$D$3</f>
        <v>2.4</v>
      </c>
      <c r="F49" s="48">
        <f>F48*$D$3</f>
        <v>2.16</v>
      </c>
      <c r="G49" s="48">
        <f>G48*$D$3</f>
        <v>1.92</v>
      </c>
      <c r="H49" s="48">
        <f>H48*$D$3</f>
        <v>1.68</v>
      </c>
      <c r="I49" s="50">
        <f>I48*$D$3</f>
        <v>1.44</v>
      </c>
    </row>
    <row r="50" spans="1:9" ht="14.25" customHeight="1">
      <c r="A50" s="898"/>
      <c r="B50" s="897"/>
      <c r="C50" s="868"/>
      <c r="D50" s="51" t="str">
        <f t="shared" si="3"/>
        <v>토질지질</v>
      </c>
      <c r="E50" s="48">
        <f>E48*$D$4</f>
        <v>0.8</v>
      </c>
      <c r="F50" s="48">
        <f>F48*$D$4</f>
        <v>0.72000000000000008</v>
      </c>
      <c r="G50" s="48">
        <f>G48*$D$4</f>
        <v>0.64000000000000012</v>
      </c>
      <c r="H50" s="48">
        <f>H48*$D$4</f>
        <v>0.55999999999999994</v>
      </c>
      <c r="I50" s="50">
        <f>I48*$D$4</f>
        <v>0.48</v>
      </c>
    </row>
    <row r="51" spans="1:9" ht="14.25" customHeight="1">
      <c r="A51" s="898"/>
      <c r="B51" s="897"/>
      <c r="C51" s="868"/>
      <c r="D51" s="51" t="str">
        <f t="shared" si="3"/>
        <v>도로공항</v>
      </c>
      <c r="E51" s="48">
        <f>E48*$D$5</f>
        <v>2</v>
      </c>
      <c r="F51" s="48">
        <f>F48*$D$5</f>
        <v>1.8</v>
      </c>
      <c r="G51" s="48">
        <f>G48*$D$5</f>
        <v>1.6</v>
      </c>
      <c r="H51" s="48">
        <f>H48*$D$5</f>
        <v>1.4</v>
      </c>
      <c r="I51" s="50">
        <f>I48*$D$5</f>
        <v>1.2</v>
      </c>
    </row>
    <row r="52" spans="1:9" ht="14.25" customHeight="1">
      <c r="A52" s="898"/>
      <c r="B52" s="897"/>
      <c r="C52" s="868"/>
      <c r="D52" s="51" t="str">
        <f t="shared" si="3"/>
        <v>토목구조</v>
      </c>
      <c r="E52" s="48">
        <f>E48*$D$6</f>
        <v>0.8</v>
      </c>
      <c r="F52" s="48">
        <f>F48*$D$6</f>
        <v>0.72000000000000008</v>
      </c>
      <c r="G52" s="48">
        <f>G48*$D$6</f>
        <v>0.64000000000000012</v>
      </c>
      <c r="H52" s="48">
        <f>H48*$D$6</f>
        <v>0.55999999999999994</v>
      </c>
      <c r="I52" s="50">
        <f>I48*$D$6</f>
        <v>0.48</v>
      </c>
    </row>
    <row r="53" spans="1:9" ht="14.25" customHeight="1">
      <c r="A53" s="898"/>
      <c r="B53" s="897"/>
      <c r="C53" s="868"/>
      <c r="D53" s="51" t="str">
        <f t="shared" si="3"/>
        <v>상하수도</v>
      </c>
      <c r="E53" s="48">
        <f>E48*$D$7</f>
        <v>1.2</v>
      </c>
      <c r="F53" s="48">
        <f>F48*$D$7</f>
        <v>1.08</v>
      </c>
      <c r="G53" s="48">
        <f>G48*$D$7</f>
        <v>0.96</v>
      </c>
      <c r="H53" s="48">
        <f>H48*$D$7</f>
        <v>0.84</v>
      </c>
      <c r="I53" s="50">
        <f>I48*$D$7</f>
        <v>0.72</v>
      </c>
    </row>
    <row r="54" spans="1:9" ht="14.25" customHeight="1">
      <c r="A54" s="896"/>
      <c r="B54" s="870"/>
      <c r="C54" s="864"/>
      <c r="D54" s="751" t="str">
        <f t="shared" si="3"/>
        <v>조경</v>
      </c>
      <c r="E54" s="48">
        <f>E48*$D$8</f>
        <v>0.8</v>
      </c>
      <c r="F54" s="48">
        <f t="shared" ref="F54:I54" si="4">F48*$D$8</f>
        <v>0.72000000000000008</v>
      </c>
      <c r="G54" s="48">
        <f t="shared" si="4"/>
        <v>0.64000000000000012</v>
      </c>
      <c r="H54" s="48">
        <f t="shared" si="4"/>
        <v>0.55999999999999994</v>
      </c>
      <c r="I54" s="48">
        <f t="shared" si="4"/>
        <v>0.48</v>
      </c>
    </row>
    <row r="55" spans="1:9" ht="14.25" customHeight="1">
      <c r="A55" s="895" t="s">
        <v>119</v>
      </c>
      <c r="B55" s="869" t="s">
        <v>108</v>
      </c>
      <c r="C55" s="863">
        <v>5</v>
      </c>
      <c r="D55" s="31" t="s">
        <v>97</v>
      </c>
      <c r="E55" s="39">
        <v>5</v>
      </c>
      <c r="F55" s="39">
        <v>4</v>
      </c>
      <c r="G55" s="39">
        <v>3</v>
      </c>
      <c r="H55" s="39">
        <v>2</v>
      </c>
      <c r="I55" s="40">
        <v>2</v>
      </c>
    </row>
    <row r="56" spans="1:9" ht="14.25" customHeight="1">
      <c r="A56" s="898"/>
      <c r="B56" s="897"/>
      <c r="C56" s="868"/>
      <c r="D56" s="36" t="s">
        <v>87</v>
      </c>
      <c r="E56" s="47">
        <f>C55</f>
        <v>5</v>
      </c>
      <c r="F56" s="47">
        <f>$C$55*0.9</f>
        <v>4.5</v>
      </c>
      <c r="G56" s="47">
        <f>$C$55*0.8</f>
        <v>4</v>
      </c>
      <c r="H56" s="47">
        <f>$C$55*0.7</f>
        <v>3.5</v>
      </c>
      <c r="I56" s="49">
        <f>$C$55*0.6</f>
        <v>3</v>
      </c>
    </row>
    <row r="57" spans="1:9" ht="14.25" customHeight="1">
      <c r="A57" s="898"/>
      <c r="B57" s="897"/>
      <c r="C57" s="868"/>
      <c r="D57" s="36" t="str">
        <f t="shared" ref="D57:D62" si="5">D27</f>
        <v>도시계획</v>
      </c>
      <c r="E57" s="48">
        <f>E56*$D$3</f>
        <v>1.5</v>
      </c>
      <c r="F57" s="48">
        <f>F56*$D$3</f>
        <v>1.3499999999999999</v>
      </c>
      <c r="G57" s="48">
        <f>G56*$D$3</f>
        <v>1.2</v>
      </c>
      <c r="H57" s="48">
        <f>H56*$D$3</f>
        <v>1.05</v>
      </c>
      <c r="I57" s="50">
        <f>I56*$D$3</f>
        <v>0.89999999999999991</v>
      </c>
    </row>
    <row r="58" spans="1:9" ht="14.25" customHeight="1">
      <c r="A58" s="898"/>
      <c r="B58" s="897"/>
      <c r="C58" s="868"/>
      <c r="D58" s="51" t="str">
        <f t="shared" si="5"/>
        <v>토질지질</v>
      </c>
      <c r="E58" s="48">
        <f>E56*$D$4</f>
        <v>0.5</v>
      </c>
      <c r="F58" s="48">
        <f>F56*$D$4</f>
        <v>0.45</v>
      </c>
      <c r="G58" s="48">
        <f>G56*$D$4</f>
        <v>0.4</v>
      </c>
      <c r="H58" s="48">
        <f>H56*$D$4</f>
        <v>0.35000000000000003</v>
      </c>
      <c r="I58" s="50">
        <f>I56*$D$4</f>
        <v>0.30000000000000004</v>
      </c>
    </row>
    <row r="59" spans="1:9" ht="14.25" customHeight="1">
      <c r="A59" s="898"/>
      <c r="B59" s="897"/>
      <c r="C59" s="868"/>
      <c r="D59" s="51" t="str">
        <f t="shared" si="5"/>
        <v>도로공항</v>
      </c>
      <c r="E59" s="48">
        <f>E56*$D$5</f>
        <v>1.25</v>
      </c>
      <c r="F59" s="48">
        <f>F56*$D$5</f>
        <v>1.125</v>
      </c>
      <c r="G59" s="48">
        <f>G56*$D$5</f>
        <v>1</v>
      </c>
      <c r="H59" s="48">
        <f>H56*$D$5</f>
        <v>0.875</v>
      </c>
      <c r="I59" s="50">
        <f>I56*$D$5</f>
        <v>0.75</v>
      </c>
    </row>
    <row r="60" spans="1:9" ht="14.25" customHeight="1">
      <c r="A60" s="898"/>
      <c r="B60" s="897"/>
      <c r="C60" s="868"/>
      <c r="D60" s="51" t="str">
        <f t="shared" si="5"/>
        <v>토목구조</v>
      </c>
      <c r="E60" s="48">
        <f>E56*$D$6</f>
        <v>0.5</v>
      </c>
      <c r="F60" s="48">
        <f>F56*$D$6</f>
        <v>0.45</v>
      </c>
      <c r="G60" s="48">
        <f>G56*$D$6</f>
        <v>0.4</v>
      </c>
      <c r="H60" s="48">
        <f>H56*$D$6</f>
        <v>0.35000000000000003</v>
      </c>
      <c r="I60" s="50">
        <f>I56*$D$6</f>
        <v>0.30000000000000004</v>
      </c>
    </row>
    <row r="61" spans="1:9" ht="14.25" customHeight="1">
      <c r="A61" s="898"/>
      <c r="B61" s="897"/>
      <c r="C61" s="868"/>
      <c r="D61" s="51" t="str">
        <f t="shared" si="5"/>
        <v>상하수도</v>
      </c>
      <c r="E61" s="48">
        <f>E56*$D$7</f>
        <v>0.75</v>
      </c>
      <c r="F61" s="48">
        <f>F56*$D$7</f>
        <v>0.67499999999999993</v>
      </c>
      <c r="G61" s="48">
        <f>G56*$D$7</f>
        <v>0.6</v>
      </c>
      <c r="H61" s="48">
        <f>H56*$D$7</f>
        <v>0.52500000000000002</v>
      </c>
      <c r="I61" s="50">
        <f>I56*$D$7</f>
        <v>0.44999999999999996</v>
      </c>
    </row>
    <row r="62" spans="1:9" ht="14.25" customHeight="1">
      <c r="A62" s="898"/>
      <c r="B62" s="870"/>
      <c r="C62" s="864"/>
      <c r="D62" s="751" t="str">
        <f t="shared" si="5"/>
        <v>조경</v>
      </c>
      <c r="E62" s="48">
        <f>E56*$D$8</f>
        <v>0.5</v>
      </c>
      <c r="F62" s="48">
        <f t="shared" ref="F62:I62" si="6">F56*$D$8</f>
        <v>0.45</v>
      </c>
      <c r="G62" s="48">
        <f t="shared" si="6"/>
        <v>0.4</v>
      </c>
      <c r="H62" s="48">
        <f t="shared" si="6"/>
        <v>0.35000000000000003</v>
      </c>
      <c r="I62" s="48">
        <f t="shared" si="6"/>
        <v>0.30000000000000004</v>
      </c>
    </row>
    <row r="63" spans="1:9" ht="14.25" customHeight="1">
      <c r="A63" s="898"/>
      <c r="B63" s="869" t="s">
        <v>177</v>
      </c>
      <c r="C63" s="863">
        <v>5</v>
      </c>
      <c r="D63" s="31" t="s">
        <v>98</v>
      </c>
      <c r="E63" s="42">
        <v>5</v>
      </c>
      <c r="F63" s="42">
        <v>4</v>
      </c>
      <c r="G63" s="42">
        <v>3</v>
      </c>
      <c r="H63" s="42">
        <v>2</v>
      </c>
      <c r="I63" s="43">
        <v>2</v>
      </c>
    </row>
    <row r="64" spans="1:9" ht="14.25" customHeight="1">
      <c r="A64" s="898"/>
      <c r="B64" s="897"/>
      <c r="C64" s="868"/>
      <c r="D64" s="36" t="s">
        <v>87</v>
      </c>
      <c r="E64" s="47">
        <f>C63</f>
        <v>5</v>
      </c>
      <c r="F64" s="47">
        <f>$C$63*0.9</f>
        <v>4.5</v>
      </c>
      <c r="G64" s="47">
        <f>$C$63*0.8</f>
        <v>4</v>
      </c>
      <c r="H64" s="47">
        <f>$C$63*0.7</f>
        <v>3.5</v>
      </c>
      <c r="I64" s="49">
        <f>$C$63*0.6</f>
        <v>3</v>
      </c>
    </row>
    <row r="65" spans="1:9" ht="14.25" customHeight="1">
      <c r="A65" s="898"/>
      <c r="B65" s="897"/>
      <c r="C65" s="868"/>
      <c r="D65" s="51" t="str">
        <f t="shared" ref="D65:D70" si="7">D27</f>
        <v>도시계획</v>
      </c>
      <c r="E65" s="48">
        <f>E64*$D$3</f>
        <v>1.5</v>
      </c>
      <c r="F65" s="48">
        <f>F64*$D$3</f>
        <v>1.3499999999999999</v>
      </c>
      <c r="G65" s="48">
        <f>G64*$D$3</f>
        <v>1.2</v>
      </c>
      <c r="H65" s="48">
        <f>H64*$D$3</f>
        <v>1.05</v>
      </c>
      <c r="I65" s="50">
        <f>I64*$D$3</f>
        <v>0.89999999999999991</v>
      </c>
    </row>
    <row r="66" spans="1:9" ht="14.25" customHeight="1">
      <c r="A66" s="898"/>
      <c r="B66" s="897"/>
      <c r="C66" s="868"/>
      <c r="D66" s="51" t="str">
        <f t="shared" si="7"/>
        <v>토질지질</v>
      </c>
      <c r="E66" s="48">
        <f>E64*$D$4</f>
        <v>0.5</v>
      </c>
      <c r="F66" s="48">
        <f>F64*$D$4</f>
        <v>0.45</v>
      </c>
      <c r="G66" s="48">
        <f>G64*$D$4</f>
        <v>0.4</v>
      </c>
      <c r="H66" s="48">
        <f>H64*$D$4</f>
        <v>0.35000000000000003</v>
      </c>
      <c r="I66" s="50">
        <f>I64*$D$4</f>
        <v>0.30000000000000004</v>
      </c>
    </row>
    <row r="67" spans="1:9" ht="14.25" customHeight="1">
      <c r="A67" s="898"/>
      <c r="B67" s="897"/>
      <c r="C67" s="868"/>
      <c r="D67" s="51" t="str">
        <f t="shared" si="7"/>
        <v>도로공항</v>
      </c>
      <c r="E67" s="48">
        <f>E64*$D$5</f>
        <v>1.25</v>
      </c>
      <c r="F67" s="48">
        <f>F64*$D$5</f>
        <v>1.125</v>
      </c>
      <c r="G67" s="48">
        <f>G64*$D$5</f>
        <v>1</v>
      </c>
      <c r="H67" s="48">
        <f>H64*$D$5</f>
        <v>0.875</v>
      </c>
      <c r="I67" s="50">
        <f>I64*$D$5</f>
        <v>0.75</v>
      </c>
    </row>
    <row r="68" spans="1:9" ht="14.25" customHeight="1">
      <c r="A68" s="898"/>
      <c r="B68" s="897"/>
      <c r="C68" s="868"/>
      <c r="D68" s="51" t="str">
        <f t="shared" si="7"/>
        <v>토목구조</v>
      </c>
      <c r="E68" s="48">
        <f>E64*$D$6</f>
        <v>0.5</v>
      </c>
      <c r="F68" s="48">
        <f>F64*$D$6</f>
        <v>0.45</v>
      </c>
      <c r="G68" s="48">
        <f>G64*$D$6</f>
        <v>0.4</v>
      </c>
      <c r="H68" s="48">
        <f>H64*$D$6</f>
        <v>0.35000000000000003</v>
      </c>
      <c r="I68" s="50">
        <f>I64*$D$6</f>
        <v>0.30000000000000004</v>
      </c>
    </row>
    <row r="69" spans="1:9" ht="14.25" customHeight="1">
      <c r="A69" s="898"/>
      <c r="B69" s="897"/>
      <c r="C69" s="868"/>
      <c r="D69" s="51" t="str">
        <f t="shared" si="7"/>
        <v>상하수도</v>
      </c>
      <c r="E69" s="48">
        <f>E64*$D$7</f>
        <v>0.75</v>
      </c>
      <c r="F69" s="48">
        <f>F64*$D$7</f>
        <v>0.67499999999999993</v>
      </c>
      <c r="G69" s="48">
        <f>G64*$D$7</f>
        <v>0.6</v>
      </c>
      <c r="H69" s="48">
        <f>H64*$D$7</f>
        <v>0.52500000000000002</v>
      </c>
      <c r="I69" s="50">
        <f>I64*$D$7</f>
        <v>0.44999999999999996</v>
      </c>
    </row>
    <row r="70" spans="1:9" ht="14.25" customHeight="1">
      <c r="A70" s="896"/>
      <c r="B70" s="870"/>
      <c r="C70" s="864"/>
      <c r="D70" s="751" t="str">
        <f t="shared" si="7"/>
        <v>조경</v>
      </c>
      <c r="E70" s="48">
        <f>E64*$D$8</f>
        <v>0.5</v>
      </c>
      <c r="F70" s="48">
        <f t="shared" ref="F70:I70" si="8">F64*$D$8</f>
        <v>0.45</v>
      </c>
      <c r="G70" s="48">
        <f t="shared" si="8"/>
        <v>0.4</v>
      </c>
      <c r="H70" s="48">
        <f t="shared" si="8"/>
        <v>0.35000000000000003</v>
      </c>
      <c r="I70" s="48">
        <f t="shared" si="8"/>
        <v>0.30000000000000004</v>
      </c>
    </row>
    <row r="71" spans="1:9" ht="14.25" customHeight="1">
      <c r="A71" s="895" t="s">
        <v>320</v>
      </c>
      <c r="B71" s="869" t="s">
        <v>128</v>
      </c>
      <c r="C71" s="863">
        <v>1</v>
      </c>
      <c r="D71" s="31" t="s">
        <v>125</v>
      </c>
      <c r="E71" s="31" t="s">
        <v>116</v>
      </c>
      <c r="F71" s="31" t="s">
        <v>197</v>
      </c>
      <c r="G71" s="36"/>
      <c r="H71" s="36"/>
      <c r="I71" s="55"/>
    </row>
    <row r="72" spans="1:9" ht="14.25" customHeight="1">
      <c r="A72" s="896"/>
      <c r="B72" s="870"/>
      <c r="C72" s="864"/>
      <c r="D72" s="36" t="s">
        <v>87</v>
      </c>
      <c r="E72" s="37">
        <v>1</v>
      </c>
      <c r="F72" s="37">
        <v>0.5</v>
      </c>
      <c r="G72" s="36"/>
      <c r="H72" s="36"/>
      <c r="I72" s="55"/>
    </row>
    <row r="73" spans="1:9" ht="14.25" customHeight="1">
      <c r="A73" s="899" t="s">
        <v>178</v>
      </c>
      <c r="B73" s="869" t="s">
        <v>191</v>
      </c>
      <c r="C73" s="865">
        <v>6</v>
      </c>
      <c r="D73" s="31" t="s">
        <v>115</v>
      </c>
      <c r="E73" s="728">
        <v>3</v>
      </c>
      <c r="F73" s="728">
        <v>2</v>
      </c>
      <c r="G73" s="728">
        <v>1</v>
      </c>
      <c r="H73" s="729">
        <v>1</v>
      </c>
      <c r="I73" s="43"/>
    </row>
    <row r="74" spans="1:9" ht="14.25" customHeight="1">
      <c r="A74" s="878"/>
      <c r="B74" s="897"/>
      <c r="C74" s="866"/>
      <c r="D74" s="36" t="s">
        <v>87</v>
      </c>
      <c r="E74" s="44">
        <f>$C$73*1</f>
        <v>6</v>
      </c>
      <c r="F74" s="44">
        <f>$C$73*0.9</f>
        <v>5.4</v>
      </c>
      <c r="G74" s="44">
        <f>$C$73*0.8</f>
        <v>4.8000000000000007</v>
      </c>
      <c r="H74" s="45">
        <f>$C$73*0.6</f>
        <v>3.5999999999999996</v>
      </c>
      <c r="I74" s="45"/>
    </row>
    <row r="75" spans="1:9" ht="14.25" customHeight="1">
      <c r="A75" s="878"/>
      <c r="B75" s="897"/>
      <c r="C75" s="866"/>
      <c r="D75" s="860" t="s">
        <v>305</v>
      </c>
      <c r="E75" s="730">
        <v>2.1</v>
      </c>
      <c r="F75" s="380">
        <v>15</v>
      </c>
      <c r="G75" s="380">
        <v>30</v>
      </c>
      <c r="H75" s="46"/>
      <c r="I75" s="46"/>
    </row>
    <row r="76" spans="1:9" ht="14.25" customHeight="1">
      <c r="A76" s="878"/>
      <c r="B76" s="870"/>
      <c r="C76" s="867"/>
      <c r="D76" s="861"/>
      <c r="E76" s="379">
        <v>0.7</v>
      </c>
      <c r="F76" s="379">
        <v>1</v>
      </c>
      <c r="G76" s="379">
        <v>1.3</v>
      </c>
      <c r="H76" s="46"/>
      <c r="I76" s="46"/>
    </row>
    <row r="77" spans="1:9" ht="14.25" customHeight="1">
      <c r="A77" s="878"/>
      <c r="B77" s="860" t="s">
        <v>192</v>
      </c>
      <c r="C77" s="862">
        <v>6</v>
      </c>
      <c r="D77" s="323">
        <v>2.5</v>
      </c>
      <c r="E77" s="323">
        <v>2</v>
      </c>
      <c r="F77" s="323">
        <v>1.5</v>
      </c>
      <c r="G77" s="323">
        <v>1</v>
      </c>
      <c r="H77" s="323">
        <v>0.5</v>
      </c>
      <c r="I77" s="324">
        <v>0.5</v>
      </c>
    </row>
    <row r="78" spans="1:9" ht="14.25" customHeight="1">
      <c r="A78" s="878"/>
      <c r="B78" s="861"/>
      <c r="C78" s="862"/>
      <c r="D78" s="44">
        <f>$C$77</f>
        <v>6</v>
      </c>
      <c r="E78" s="44">
        <f>$C$77*0.9</f>
        <v>5.4</v>
      </c>
      <c r="F78" s="44">
        <f>$C$77*0.8</f>
        <v>4.8000000000000007</v>
      </c>
      <c r="G78" s="44">
        <f>$C$77*0.7</f>
        <v>4.1999999999999993</v>
      </c>
      <c r="H78" s="44">
        <f>$C$77*0.6</f>
        <v>3.5999999999999996</v>
      </c>
      <c r="I78" s="44">
        <f>$C$77*0.5</f>
        <v>3</v>
      </c>
    </row>
    <row r="79" spans="1:9" ht="14.25" customHeight="1">
      <c r="A79" s="878"/>
      <c r="B79" s="869" t="s">
        <v>321</v>
      </c>
      <c r="C79" s="859">
        <v>1</v>
      </c>
      <c r="D79" s="31" t="s">
        <v>125</v>
      </c>
      <c r="E79" s="31" t="s">
        <v>301</v>
      </c>
      <c r="F79" s="31" t="s">
        <v>302</v>
      </c>
      <c r="G79" s="13"/>
      <c r="H79" s="13"/>
      <c r="I79" s="13"/>
    </row>
    <row r="80" spans="1:9" ht="14.25" customHeight="1">
      <c r="A80" s="878"/>
      <c r="B80" s="870"/>
      <c r="C80" s="859"/>
      <c r="D80" s="51" t="s">
        <v>88</v>
      </c>
      <c r="E80" s="58">
        <v>1</v>
      </c>
      <c r="F80" s="441">
        <v>0.5</v>
      </c>
      <c r="G80" s="13"/>
      <c r="H80" s="13"/>
      <c r="I80" s="13"/>
    </row>
    <row r="81" spans="1:10" ht="14.25" customHeight="1">
      <c r="A81" s="878"/>
      <c r="B81" s="869" t="s">
        <v>697</v>
      </c>
      <c r="C81" s="863">
        <v>2</v>
      </c>
      <c r="D81" s="323" t="s">
        <v>698</v>
      </c>
      <c r="E81" s="31"/>
      <c r="F81" s="31"/>
      <c r="G81" s="13"/>
      <c r="H81" s="13"/>
      <c r="I81" s="13"/>
    </row>
    <row r="82" spans="1:10" ht="14.25" customHeight="1">
      <c r="A82" s="879"/>
      <c r="B82" s="870"/>
      <c r="C82" s="864"/>
      <c r="D82" s="44">
        <f>C81</f>
        <v>2</v>
      </c>
      <c r="E82" s="58"/>
      <c r="F82" s="441"/>
      <c r="G82" s="13"/>
      <c r="H82" s="13"/>
      <c r="I82" s="13"/>
    </row>
    <row r="83" spans="1:10" ht="14.25" customHeight="1">
      <c r="A83" s="895" t="s">
        <v>99</v>
      </c>
      <c r="B83" s="869" t="s">
        <v>120</v>
      </c>
      <c r="C83" s="863">
        <v>7</v>
      </c>
      <c r="D83" s="31" t="s">
        <v>140</v>
      </c>
      <c r="E83" s="53">
        <v>1</v>
      </c>
      <c r="F83" s="54">
        <v>12</v>
      </c>
      <c r="G83" s="51" t="s">
        <v>109</v>
      </c>
      <c r="H83" s="51"/>
      <c r="I83" s="46"/>
    </row>
    <row r="84" spans="1:10" ht="14.25" customHeight="1">
      <c r="A84" s="898"/>
      <c r="B84" s="870"/>
      <c r="C84" s="868"/>
      <c r="D84" s="51" t="s">
        <v>117</v>
      </c>
      <c r="E84" s="37">
        <v>-0.2</v>
      </c>
      <c r="F84" s="54">
        <f>12*-0.2</f>
        <v>-2.4000000000000004</v>
      </c>
      <c r="G84" s="51"/>
      <c r="H84" s="36"/>
      <c r="I84" s="55"/>
    </row>
    <row r="85" spans="1:10" ht="14.25" customHeight="1">
      <c r="A85" s="898"/>
      <c r="B85" s="869" t="s">
        <v>121</v>
      </c>
      <c r="C85" s="868"/>
      <c r="D85" s="31" t="s">
        <v>140</v>
      </c>
      <c r="E85" s="53">
        <v>1</v>
      </c>
      <c r="F85" s="54">
        <v>12</v>
      </c>
      <c r="G85" s="51"/>
      <c r="H85" s="56"/>
      <c r="I85" s="57"/>
    </row>
    <row r="86" spans="1:10" ht="14.25" customHeight="1">
      <c r="A86" s="898"/>
      <c r="B86" s="870"/>
      <c r="C86" s="868"/>
      <c r="D86" s="51" t="s">
        <v>117</v>
      </c>
      <c r="E86" s="37">
        <v>-0.2</v>
      </c>
      <c r="F86" s="54">
        <f>12*-0.2</f>
        <v>-2.4000000000000004</v>
      </c>
      <c r="G86" s="51"/>
      <c r="H86" s="36"/>
      <c r="I86" s="55"/>
    </row>
    <row r="87" spans="1:10" ht="14.25" customHeight="1">
      <c r="A87" s="898"/>
      <c r="B87" s="892" t="s">
        <v>83</v>
      </c>
      <c r="C87" s="868"/>
      <c r="D87" s="31" t="s">
        <v>89</v>
      </c>
      <c r="E87" s="31" t="s">
        <v>392</v>
      </c>
      <c r="F87" s="31" t="s">
        <v>393</v>
      </c>
      <c r="G87" s="31" t="s">
        <v>394</v>
      </c>
      <c r="H87" s="31" t="s">
        <v>395</v>
      </c>
      <c r="I87" s="31" t="s">
        <v>396</v>
      </c>
      <c r="J87" s="31" t="s">
        <v>391</v>
      </c>
    </row>
    <row r="88" spans="1:10" ht="14.25" customHeight="1">
      <c r="A88" s="898"/>
      <c r="B88" s="892"/>
      <c r="C88" s="864"/>
      <c r="D88" s="51" t="s">
        <v>87</v>
      </c>
      <c r="E88" s="37">
        <v>0.2</v>
      </c>
      <c r="F88" s="37">
        <v>0.5</v>
      </c>
      <c r="G88" s="37">
        <v>1</v>
      </c>
      <c r="H88" s="37">
        <v>2</v>
      </c>
      <c r="I88" s="41">
        <v>3</v>
      </c>
      <c r="J88" s="41">
        <v>5</v>
      </c>
    </row>
    <row r="89" spans="1:10" ht="21" customHeight="1">
      <c r="A89" s="898"/>
      <c r="B89" s="869" t="s">
        <v>141</v>
      </c>
      <c r="C89" s="863">
        <v>3</v>
      </c>
      <c r="D89" s="31" t="s">
        <v>143</v>
      </c>
      <c r="E89" s="31" t="s">
        <v>701</v>
      </c>
      <c r="F89" s="31" t="s">
        <v>702</v>
      </c>
      <c r="G89" s="31" t="s">
        <v>193</v>
      </c>
      <c r="H89" s="32" t="s">
        <v>132</v>
      </c>
      <c r="I89" s="55"/>
    </row>
    <row r="90" spans="1:10" ht="21" customHeight="1">
      <c r="A90" s="898"/>
      <c r="B90" s="897"/>
      <c r="C90" s="868"/>
      <c r="D90" s="31" t="s">
        <v>144</v>
      </c>
      <c r="E90" s="31" t="s">
        <v>703</v>
      </c>
      <c r="F90" s="31" t="s">
        <v>179</v>
      </c>
      <c r="G90" s="31" t="s">
        <v>142</v>
      </c>
      <c r="H90" s="32" t="s">
        <v>132</v>
      </c>
      <c r="I90" s="55"/>
    </row>
    <row r="91" spans="1:10" ht="21" customHeight="1">
      <c r="A91" s="898"/>
      <c r="B91" s="897"/>
      <c r="C91" s="868"/>
      <c r="D91" s="31" t="s">
        <v>145</v>
      </c>
      <c r="E91" s="31" t="s">
        <v>701</v>
      </c>
      <c r="F91" s="31" t="s">
        <v>702</v>
      </c>
      <c r="G91" s="31" t="s">
        <v>193</v>
      </c>
      <c r="H91" s="32" t="s">
        <v>132</v>
      </c>
      <c r="I91" s="55"/>
    </row>
    <row r="92" spans="1:10" ht="14.25" customHeight="1">
      <c r="A92" s="896"/>
      <c r="B92" s="870"/>
      <c r="C92" s="864"/>
      <c r="D92" s="51" t="s">
        <v>87</v>
      </c>
      <c r="E92" s="37">
        <f>C89</f>
        <v>3</v>
      </c>
      <c r="F92" s="37">
        <v>2.8</v>
      </c>
      <c r="G92" s="37">
        <v>2.1</v>
      </c>
      <c r="H92" s="37">
        <v>0</v>
      </c>
      <c r="I92" s="762"/>
    </row>
    <row r="93" spans="1:10" ht="14.25" customHeight="1">
      <c r="A93" s="899" t="s">
        <v>122</v>
      </c>
      <c r="B93" s="869" t="s">
        <v>123</v>
      </c>
      <c r="C93" s="863">
        <v>2</v>
      </c>
      <c r="D93" s="31" t="s">
        <v>91</v>
      </c>
      <c r="E93" s="31" t="s">
        <v>114</v>
      </c>
      <c r="F93" s="31" t="s">
        <v>124</v>
      </c>
      <c r="G93" s="31" t="s">
        <v>100</v>
      </c>
      <c r="H93" s="51"/>
      <c r="I93" s="46"/>
    </row>
    <row r="94" spans="1:10" ht="14.25" customHeight="1">
      <c r="A94" s="878"/>
      <c r="B94" s="897"/>
      <c r="C94" s="868"/>
      <c r="D94" s="51" t="s">
        <v>87</v>
      </c>
      <c r="E94" s="37">
        <v>2</v>
      </c>
      <c r="F94" s="37">
        <v>1</v>
      </c>
      <c r="G94" s="37">
        <v>0.5</v>
      </c>
      <c r="H94" s="51"/>
      <c r="I94" s="46"/>
    </row>
    <row r="95" spans="1:10" ht="14.25" customHeight="1">
      <c r="A95" s="878"/>
      <c r="B95" s="897"/>
      <c r="C95" s="868"/>
      <c r="D95" s="31" t="s">
        <v>91</v>
      </c>
      <c r="E95" s="31" t="s">
        <v>110</v>
      </c>
      <c r="F95" s="31" t="s">
        <v>112</v>
      </c>
      <c r="G95" s="31" t="s">
        <v>113</v>
      </c>
      <c r="H95" s="51"/>
      <c r="I95" s="46"/>
    </row>
    <row r="96" spans="1:10" ht="14.25" customHeight="1">
      <c r="A96" s="878"/>
      <c r="B96" s="897"/>
      <c r="C96" s="868"/>
      <c r="D96" s="36" t="s">
        <v>139</v>
      </c>
      <c r="E96" s="58">
        <v>1</v>
      </c>
      <c r="F96" s="58">
        <v>0.8</v>
      </c>
      <c r="G96" s="58">
        <v>0.6</v>
      </c>
      <c r="H96" s="51"/>
      <c r="I96" s="46"/>
    </row>
    <row r="97" spans="1:10" ht="14.25" customHeight="1">
      <c r="A97" s="878"/>
      <c r="B97" s="870"/>
      <c r="C97" s="864"/>
      <c r="D97" s="36" t="s">
        <v>100</v>
      </c>
      <c r="E97" s="58">
        <v>1</v>
      </c>
      <c r="F97" s="58">
        <v>0.8</v>
      </c>
      <c r="G97" s="59"/>
      <c r="H97" s="51"/>
      <c r="I97" s="46"/>
    </row>
    <row r="98" spans="1:10" ht="14.25" customHeight="1">
      <c r="A98" s="878"/>
      <c r="B98" s="892" t="s">
        <v>90</v>
      </c>
      <c r="C98" s="859">
        <v>8</v>
      </c>
      <c r="D98" s="31" t="s">
        <v>98</v>
      </c>
      <c r="E98" s="763">
        <v>1.4999999999999999E-2</v>
      </c>
      <c r="F98" s="763">
        <v>1.2500000000000001E-2</v>
      </c>
      <c r="G98" s="763">
        <v>0.01</v>
      </c>
      <c r="H98" s="763">
        <v>7.4999999999999997E-3</v>
      </c>
      <c r="I98" s="763">
        <v>5.0000000000000001E-3</v>
      </c>
    </row>
    <row r="99" spans="1:10" ht="14.25" customHeight="1">
      <c r="A99" s="878"/>
      <c r="B99" s="892"/>
      <c r="C99" s="859"/>
      <c r="D99" s="51" t="s">
        <v>87</v>
      </c>
      <c r="E99" s="37">
        <f>C98</f>
        <v>8</v>
      </c>
      <c r="F99" s="37">
        <v>7</v>
      </c>
      <c r="G99" s="37">
        <v>6</v>
      </c>
      <c r="H99" s="37">
        <v>5</v>
      </c>
      <c r="I99" s="41">
        <v>4</v>
      </c>
    </row>
    <row r="100" spans="1:10" ht="14.25" customHeight="1">
      <c r="A100" s="878"/>
      <c r="B100" s="869" t="s">
        <v>194</v>
      </c>
      <c r="C100" s="863">
        <v>3</v>
      </c>
      <c r="D100" s="31" t="s">
        <v>91</v>
      </c>
      <c r="E100" s="31" t="s">
        <v>114</v>
      </c>
      <c r="F100" s="31" t="s">
        <v>124</v>
      </c>
      <c r="G100" s="31" t="s">
        <v>100</v>
      </c>
      <c r="H100" s="51"/>
      <c r="I100" s="46"/>
    </row>
    <row r="101" spans="1:10" ht="14.25" customHeight="1">
      <c r="A101" s="878"/>
      <c r="B101" s="897"/>
      <c r="C101" s="868"/>
      <c r="D101" s="51" t="s">
        <v>87</v>
      </c>
      <c r="E101" s="37">
        <v>1</v>
      </c>
      <c r="F101" s="37">
        <v>0.6</v>
      </c>
      <c r="G101" s="37">
        <v>0.3</v>
      </c>
      <c r="H101" s="51"/>
      <c r="I101" s="46"/>
    </row>
    <row r="102" spans="1:10" ht="14.25" customHeight="1">
      <c r="A102" s="878"/>
      <c r="B102" s="897"/>
      <c r="C102" s="868"/>
      <c r="D102" s="31" t="s">
        <v>91</v>
      </c>
      <c r="E102" s="31" t="s">
        <v>110</v>
      </c>
      <c r="F102" s="31" t="s">
        <v>112</v>
      </c>
      <c r="G102" s="31" t="s">
        <v>113</v>
      </c>
      <c r="H102" s="51"/>
      <c r="I102" s="46"/>
    </row>
    <row r="103" spans="1:10" ht="14.25" customHeight="1">
      <c r="A103" s="878"/>
      <c r="B103" s="897"/>
      <c r="C103" s="868"/>
      <c r="D103" s="36" t="s">
        <v>139</v>
      </c>
      <c r="E103" s="58">
        <v>1</v>
      </c>
      <c r="F103" s="58">
        <v>0.8</v>
      </c>
      <c r="G103" s="58">
        <v>0.6</v>
      </c>
      <c r="H103" s="51"/>
      <c r="I103" s="46"/>
    </row>
    <row r="104" spans="1:10" ht="14.25" customHeight="1">
      <c r="A104" s="878"/>
      <c r="B104" s="897"/>
      <c r="C104" s="868"/>
      <c r="D104" s="36" t="s">
        <v>100</v>
      </c>
      <c r="E104" s="58">
        <v>1</v>
      </c>
      <c r="F104" s="58">
        <v>0.8</v>
      </c>
      <c r="G104" s="59"/>
      <c r="H104" s="51"/>
      <c r="I104" s="46"/>
    </row>
    <row r="105" spans="1:10" ht="14.25" customHeight="1">
      <c r="A105" s="878"/>
      <c r="B105" s="897"/>
      <c r="C105" s="868"/>
      <c r="D105" s="31" t="s">
        <v>175</v>
      </c>
      <c r="E105" s="60">
        <v>1</v>
      </c>
      <c r="F105" s="60">
        <v>0.9</v>
      </c>
      <c r="G105" s="60">
        <v>0.8</v>
      </c>
      <c r="H105" s="60">
        <v>0.7</v>
      </c>
      <c r="I105" s="61">
        <v>0.6</v>
      </c>
    </row>
    <row r="106" spans="1:10" ht="14.25" customHeight="1">
      <c r="A106" s="878"/>
      <c r="B106" s="897"/>
      <c r="C106" s="868"/>
      <c r="D106" s="36" t="s">
        <v>195</v>
      </c>
      <c r="E106" s="62">
        <v>5</v>
      </c>
      <c r="F106" s="62">
        <v>4</v>
      </c>
      <c r="G106" s="62">
        <v>3</v>
      </c>
      <c r="H106" s="62">
        <v>2</v>
      </c>
      <c r="I106" s="63">
        <v>1</v>
      </c>
    </row>
    <row r="107" spans="1:10" ht="14.25" customHeight="1">
      <c r="A107" s="878"/>
      <c r="B107" s="897"/>
      <c r="C107" s="868"/>
      <c r="D107" s="36" t="s">
        <v>196</v>
      </c>
      <c r="E107" s="62">
        <v>20</v>
      </c>
      <c r="F107" s="62">
        <v>18</v>
      </c>
      <c r="G107" s="62">
        <v>16</v>
      </c>
      <c r="H107" s="64">
        <v>14</v>
      </c>
      <c r="I107" s="65">
        <v>12</v>
      </c>
      <c r="J107" s="376"/>
    </row>
    <row r="108" spans="1:10" ht="14.25" customHeight="1">
      <c r="A108" s="878"/>
      <c r="B108" s="870"/>
      <c r="C108" s="864"/>
      <c r="D108" s="853" t="s">
        <v>176</v>
      </c>
      <c r="E108" s="854"/>
      <c r="F108" s="854"/>
      <c r="G108" s="854"/>
      <c r="H108" s="854"/>
      <c r="I108" s="855"/>
    </row>
    <row r="109" spans="1:10" ht="14.25" customHeight="1">
      <c r="A109" s="860" t="s">
        <v>704</v>
      </c>
      <c r="B109" s="892" t="s">
        <v>705</v>
      </c>
      <c r="C109" s="859">
        <v>1</v>
      </c>
      <c r="D109" s="769" t="s">
        <v>707</v>
      </c>
      <c r="E109" s="30" t="s">
        <v>708</v>
      </c>
      <c r="F109" s="765"/>
      <c r="G109" s="766"/>
      <c r="H109" s="766"/>
      <c r="I109" s="766"/>
    </row>
    <row r="110" spans="1:10" ht="14.25" customHeight="1">
      <c r="A110" s="900"/>
      <c r="B110" s="892"/>
      <c r="C110" s="859"/>
      <c r="D110" s="44">
        <f>C109</f>
        <v>1</v>
      </c>
      <c r="E110" s="764">
        <v>0</v>
      </c>
      <c r="F110" s="767"/>
      <c r="G110" s="766"/>
      <c r="H110" s="766"/>
      <c r="I110" s="766"/>
    </row>
    <row r="111" spans="1:10" ht="14.25" customHeight="1">
      <c r="A111" s="900"/>
      <c r="B111" s="892" t="s">
        <v>706</v>
      </c>
      <c r="C111" s="859">
        <v>1</v>
      </c>
      <c r="D111" s="763">
        <v>0.82</v>
      </c>
      <c r="E111" s="763">
        <v>0.77</v>
      </c>
      <c r="F111" s="763">
        <v>0.7</v>
      </c>
      <c r="G111" s="763">
        <v>0.65</v>
      </c>
      <c r="H111" s="31" t="s">
        <v>708</v>
      </c>
      <c r="I111" s="766"/>
    </row>
    <row r="112" spans="1:10" ht="14.25" customHeight="1">
      <c r="A112" s="861"/>
      <c r="B112" s="892"/>
      <c r="C112" s="859"/>
      <c r="D112" s="44">
        <f>C111</f>
        <v>1</v>
      </c>
      <c r="E112" s="768">
        <v>0.8</v>
      </c>
      <c r="F112" s="770">
        <v>0.6</v>
      </c>
      <c r="G112" s="771">
        <v>0.4</v>
      </c>
      <c r="H112" s="770">
        <v>0</v>
      </c>
      <c r="I112" s="766"/>
    </row>
    <row r="113" spans="1:9" ht="14.25" customHeight="1">
      <c r="A113" s="895" t="s">
        <v>126</v>
      </c>
      <c r="B113" s="433" t="s">
        <v>82</v>
      </c>
      <c r="C113" s="434">
        <v>3</v>
      </c>
      <c r="D113" s="435" t="s">
        <v>314</v>
      </c>
      <c r="E113" s="436">
        <f>$C$113*1</f>
        <v>3</v>
      </c>
      <c r="F113" s="886" t="s">
        <v>312</v>
      </c>
      <c r="G113" s="887"/>
      <c r="H113" s="887"/>
      <c r="I113" s="888"/>
    </row>
    <row r="114" spans="1:9" ht="14.25" customHeight="1">
      <c r="A114" s="898"/>
      <c r="B114" s="869" t="s">
        <v>313</v>
      </c>
      <c r="C114" s="863">
        <v>4</v>
      </c>
      <c r="D114" s="51" t="str">
        <f>D65</f>
        <v>도시계획</v>
      </c>
      <c r="E114" s="48">
        <f>$C$114*D3/(D3+D4+D5+D6+D7)</f>
        <v>1.3333333333333333</v>
      </c>
      <c r="F114" s="889"/>
      <c r="G114" s="890"/>
      <c r="H114" s="890"/>
      <c r="I114" s="891"/>
    </row>
    <row r="115" spans="1:9" ht="14.25" customHeight="1">
      <c r="A115" s="898"/>
      <c r="B115" s="897"/>
      <c r="C115" s="868"/>
      <c r="D115" s="51" t="str">
        <f>D66</f>
        <v>토질지질</v>
      </c>
      <c r="E115" s="48">
        <f>$C$114*D4/(D3+D4+D5+D6+D7)</f>
        <v>0.44444444444444448</v>
      </c>
      <c r="F115" s="884" t="s">
        <v>497</v>
      </c>
      <c r="G115" s="885"/>
      <c r="H115" s="885"/>
      <c r="I115" s="885"/>
    </row>
    <row r="116" spans="1:9" ht="14.25" customHeight="1">
      <c r="A116" s="898"/>
      <c r="B116" s="897"/>
      <c r="C116" s="868"/>
      <c r="D116" s="51" t="str">
        <f>D67</f>
        <v>도로공항</v>
      </c>
      <c r="E116" s="48">
        <f>$C$114*D5/(D3+D4+D5+D6+D7)</f>
        <v>1.1111111111111112</v>
      </c>
      <c r="F116" s="884"/>
      <c r="G116" s="885"/>
      <c r="H116" s="885"/>
      <c r="I116" s="885"/>
    </row>
    <row r="117" spans="1:9" ht="14.25" customHeight="1">
      <c r="A117" s="898"/>
      <c r="B117" s="897"/>
      <c r="C117" s="868"/>
      <c r="D117" s="51" t="str">
        <f>D68</f>
        <v>토목구조</v>
      </c>
      <c r="E117" s="48">
        <f>$C$114*D6/(D3+D4+D5+D6+D7)</f>
        <v>0.44444444444444448</v>
      </c>
      <c r="F117" s="884"/>
      <c r="G117" s="885"/>
      <c r="H117" s="885"/>
      <c r="I117" s="885"/>
    </row>
    <row r="118" spans="1:9" ht="14.25" customHeight="1">
      <c r="A118" s="898"/>
      <c r="B118" s="870"/>
      <c r="C118" s="864"/>
      <c r="D118" s="51" t="str">
        <f>D69</f>
        <v>상하수도</v>
      </c>
      <c r="E118" s="48">
        <f>$C$114*D7/(D3+D4+D5+D6+D7)</f>
        <v>0.66666666666666663</v>
      </c>
      <c r="F118" s="884"/>
      <c r="G118" s="885"/>
      <c r="H118" s="885"/>
      <c r="I118" s="885"/>
    </row>
    <row r="119" spans="1:9" ht="14.25" customHeight="1">
      <c r="A119" s="898"/>
      <c r="B119" s="869" t="s">
        <v>699</v>
      </c>
      <c r="C119" s="863">
        <v>2</v>
      </c>
      <c r="D119" s="751" t="str">
        <f>D114</f>
        <v>도시계획</v>
      </c>
      <c r="E119" s="48">
        <f>$C$119*D3/(D3+D4+D5+D6+D7)</f>
        <v>0.66666666666666663</v>
      </c>
      <c r="F119" s="759"/>
      <c r="G119" s="760"/>
      <c r="H119" s="760"/>
      <c r="I119" s="760"/>
    </row>
    <row r="120" spans="1:9" ht="14.25" customHeight="1">
      <c r="A120" s="898"/>
      <c r="B120" s="897"/>
      <c r="C120" s="868"/>
      <c r="D120" s="751" t="str">
        <f t="shared" ref="D120:D123" si="9">D115</f>
        <v>토질지질</v>
      </c>
      <c r="E120" s="48">
        <f>$C$119*D4/(D3+D4+D5+D6+D7)</f>
        <v>0.22222222222222224</v>
      </c>
      <c r="F120" s="759"/>
      <c r="G120" s="760"/>
      <c r="H120" s="760"/>
      <c r="I120" s="760"/>
    </row>
    <row r="121" spans="1:9" ht="14.25" customHeight="1">
      <c r="A121" s="898"/>
      <c r="B121" s="897"/>
      <c r="C121" s="868"/>
      <c r="D121" s="751" t="str">
        <f t="shared" si="9"/>
        <v>도로공항</v>
      </c>
      <c r="E121" s="48">
        <f>$C$119*D5/(D3+D4+D5+D6+D7)</f>
        <v>0.55555555555555558</v>
      </c>
      <c r="F121" s="759"/>
      <c r="G121" s="760"/>
      <c r="H121" s="760"/>
      <c r="I121" s="760"/>
    </row>
    <row r="122" spans="1:9" ht="14.25" customHeight="1">
      <c r="A122" s="898"/>
      <c r="B122" s="897"/>
      <c r="C122" s="868"/>
      <c r="D122" s="751" t="str">
        <f t="shared" si="9"/>
        <v>토목구조</v>
      </c>
      <c r="E122" s="48">
        <f>$C$119*D6/(D3+D4+D5+D6+D7)</f>
        <v>0.22222222222222224</v>
      </c>
      <c r="F122" s="759"/>
      <c r="G122" s="760"/>
      <c r="H122" s="760"/>
      <c r="I122" s="760"/>
    </row>
    <row r="123" spans="1:9" ht="14.25" customHeight="1">
      <c r="A123" s="898"/>
      <c r="B123" s="870"/>
      <c r="C123" s="864"/>
      <c r="D123" s="751" t="str">
        <f t="shared" si="9"/>
        <v>상하수도</v>
      </c>
      <c r="E123" s="48">
        <f>$C$119*D7/(D3+D4+D5+D6+D7)</f>
        <v>0.33333333333333331</v>
      </c>
      <c r="F123" s="759"/>
      <c r="G123" s="760"/>
      <c r="H123" s="760"/>
      <c r="I123" s="760"/>
    </row>
    <row r="124" spans="1:9" ht="14.25" customHeight="1">
      <c r="A124" s="898"/>
      <c r="B124" s="897" t="s">
        <v>700</v>
      </c>
      <c r="C124" s="863">
        <v>1</v>
      </c>
      <c r="D124" s="751" t="str">
        <f>D119</f>
        <v>도시계획</v>
      </c>
      <c r="E124" s="48">
        <f>$C$124*D3/(D3+D4+D5+D6+D7)</f>
        <v>0.33333333333333331</v>
      </c>
      <c r="F124" s="759"/>
      <c r="G124" s="760"/>
      <c r="H124" s="760"/>
      <c r="I124" s="760"/>
    </row>
    <row r="125" spans="1:9" ht="14.25" customHeight="1">
      <c r="A125" s="898"/>
      <c r="B125" s="897"/>
      <c r="C125" s="868"/>
      <c r="D125" s="751" t="str">
        <f t="shared" ref="D125:D128" si="10">D120</f>
        <v>토질지질</v>
      </c>
      <c r="E125" s="48">
        <f>$C$124*D4/(D3+D4+D5+D6+D7)</f>
        <v>0.11111111111111112</v>
      </c>
      <c r="F125" s="759"/>
      <c r="G125" s="760"/>
      <c r="H125" s="760"/>
      <c r="I125" s="760"/>
    </row>
    <row r="126" spans="1:9" ht="14.25" customHeight="1">
      <c r="A126" s="898"/>
      <c r="B126" s="897"/>
      <c r="C126" s="868"/>
      <c r="D126" s="751" t="str">
        <f t="shared" si="10"/>
        <v>도로공항</v>
      </c>
      <c r="E126" s="48">
        <f>$C$124*D5/(D3+D4+D5+D6+D7)</f>
        <v>0.27777777777777779</v>
      </c>
      <c r="F126" s="759"/>
      <c r="G126" s="760"/>
      <c r="H126" s="760"/>
      <c r="I126" s="760"/>
    </row>
    <row r="127" spans="1:9" ht="14.25" customHeight="1">
      <c r="A127" s="898"/>
      <c r="B127" s="897"/>
      <c r="C127" s="868"/>
      <c r="D127" s="751" t="str">
        <f t="shared" si="10"/>
        <v>토목구조</v>
      </c>
      <c r="E127" s="48">
        <f>$C$124*D6/(D3+D4+D5+D6+D7)</f>
        <v>0.11111111111111112</v>
      </c>
      <c r="F127" s="759"/>
      <c r="G127" s="760"/>
      <c r="H127" s="760"/>
      <c r="I127" s="760"/>
    </row>
    <row r="128" spans="1:9" ht="14.25" customHeight="1">
      <c r="A128" s="896"/>
      <c r="B128" s="897"/>
      <c r="C128" s="864"/>
      <c r="D128" s="751" t="str">
        <f t="shared" si="10"/>
        <v>상하수도</v>
      </c>
      <c r="E128" s="48">
        <f>$C$124*D7/(D3+D4+D5+D6+D7)</f>
        <v>0.16666666666666666</v>
      </c>
      <c r="F128" s="759"/>
      <c r="G128" s="760"/>
      <c r="H128" s="760"/>
      <c r="I128" s="760"/>
    </row>
    <row r="129" spans="1:9" ht="14.25" customHeight="1">
      <c r="A129" s="895" t="s">
        <v>127</v>
      </c>
      <c r="B129" s="869" t="s">
        <v>322</v>
      </c>
      <c r="C129" s="859"/>
      <c r="D129" s="31" t="s">
        <v>323</v>
      </c>
      <c r="E129" s="31" t="s">
        <v>324</v>
      </c>
      <c r="F129" s="433"/>
      <c r="G129" s="433"/>
      <c r="H129" s="433"/>
      <c r="I129" s="433"/>
    </row>
    <row r="130" spans="1:9" ht="14.25" customHeight="1">
      <c r="A130" s="896"/>
      <c r="B130" s="870"/>
      <c r="C130" s="859"/>
      <c r="D130" s="444" t="s">
        <v>325</v>
      </c>
      <c r="E130" s="445" t="s">
        <v>376</v>
      </c>
      <c r="F130" s="442"/>
      <c r="G130" s="442"/>
      <c r="H130" s="442"/>
      <c r="I130" s="442"/>
    </row>
    <row r="131" spans="1:9">
      <c r="A131" s="748"/>
      <c r="B131" s="869" t="s">
        <v>709</v>
      </c>
      <c r="C131" s="752"/>
      <c r="D131" s="772">
        <v>0.03</v>
      </c>
      <c r="E131" s="772">
        <v>0.02</v>
      </c>
      <c r="F131" s="772">
        <v>0.01</v>
      </c>
      <c r="G131" s="749"/>
      <c r="H131" s="749"/>
      <c r="I131" s="761"/>
    </row>
    <row r="132" spans="1:9" ht="14.25" customHeight="1">
      <c r="A132" s="748"/>
      <c r="B132" s="870"/>
      <c r="C132" s="752"/>
      <c r="D132" s="44">
        <v>0.3</v>
      </c>
      <c r="E132" s="768">
        <v>0.2</v>
      </c>
      <c r="F132" s="770">
        <v>0.1</v>
      </c>
      <c r="G132" s="749"/>
      <c r="H132" s="749"/>
      <c r="I132" s="761"/>
    </row>
    <row r="133" spans="1:9" ht="14.25" customHeight="1">
      <c r="A133" s="893" t="s">
        <v>92</v>
      </c>
      <c r="B133" s="894"/>
      <c r="C133" s="52">
        <f>SUM(C11:C128)</f>
        <v>100</v>
      </c>
      <c r="D133" s="66"/>
      <c r="E133" s="66"/>
      <c r="F133" s="66"/>
      <c r="G133" s="66"/>
      <c r="H133" s="66"/>
      <c r="I133" s="67"/>
    </row>
    <row r="134" spans="1:9" ht="18.75" customHeight="1">
      <c r="A134" s="68"/>
      <c r="B134" s="68"/>
      <c r="C134" s="69"/>
      <c r="D134" s="68"/>
      <c r="E134" s="68"/>
      <c r="F134" s="68"/>
      <c r="G134" s="68"/>
      <c r="H134" s="68"/>
      <c r="I134" s="68"/>
    </row>
    <row r="135" spans="1:9" s="12" customFormat="1" ht="19.5" customHeight="1">
      <c r="A135" s="68"/>
      <c r="B135" s="68"/>
      <c r="C135" s="69"/>
      <c r="D135" s="68"/>
      <c r="E135" s="68"/>
      <c r="F135" s="68"/>
      <c r="G135" s="68"/>
      <c r="H135" s="68"/>
      <c r="I135" s="68"/>
    </row>
    <row r="136" spans="1:9" s="12" customFormat="1">
      <c r="A136" s="68"/>
      <c r="B136" s="68"/>
      <c r="C136" s="69"/>
      <c r="D136" s="68"/>
      <c r="E136" s="68"/>
      <c r="F136" s="68"/>
      <c r="G136" s="68"/>
      <c r="H136" s="68"/>
      <c r="I136" s="68"/>
    </row>
    <row r="137" spans="1:9" s="12" customFormat="1">
      <c r="A137" s="68"/>
      <c r="B137" s="68"/>
      <c r="C137" s="69"/>
      <c r="D137" s="68"/>
      <c r="E137" s="68"/>
      <c r="F137" s="68"/>
      <c r="G137" s="68"/>
      <c r="H137" s="68"/>
      <c r="I137" s="68"/>
    </row>
    <row r="138" spans="1:9" s="12" customFormat="1">
      <c r="A138" s="68"/>
      <c r="B138" s="68"/>
      <c r="C138" s="69"/>
      <c r="D138" s="68"/>
      <c r="E138" s="68"/>
      <c r="F138" s="68"/>
      <c r="G138" s="68"/>
      <c r="H138" s="68"/>
      <c r="I138" s="68"/>
    </row>
    <row r="139" spans="1:9" s="12" customFormat="1">
      <c r="A139" s="68"/>
      <c r="B139" s="68"/>
      <c r="C139" s="69"/>
      <c r="D139" s="68"/>
      <c r="E139" s="68"/>
      <c r="F139" s="68"/>
      <c r="G139" s="68"/>
      <c r="H139" s="68"/>
      <c r="I139" s="68"/>
    </row>
    <row r="140" spans="1:9" s="12" customFormat="1">
      <c r="A140" s="68"/>
      <c r="B140" s="68"/>
      <c r="C140" s="69"/>
      <c r="D140" s="68"/>
      <c r="E140" s="68"/>
      <c r="F140" s="68"/>
      <c r="G140" s="68"/>
      <c r="H140" s="68"/>
      <c r="I140" s="68"/>
    </row>
    <row r="141" spans="1:9" s="12" customFormat="1">
      <c r="A141" s="68"/>
      <c r="B141" s="68"/>
      <c r="C141" s="69"/>
      <c r="D141" s="68"/>
      <c r="E141" s="68"/>
      <c r="F141" s="68"/>
      <c r="G141" s="68"/>
      <c r="H141" s="68"/>
      <c r="I141" s="68"/>
    </row>
    <row r="142" spans="1:9" s="12" customFormat="1">
      <c r="A142" s="68"/>
      <c r="B142" s="68"/>
      <c r="C142" s="69"/>
      <c r="D142" s="68"/>
      <c r="E142" s="68"/>
      <c r="F142" s="68"/>
      <c r="G142" s="68"/>
      <c r="H142" s="68"/>
      <c r="I142" s="68"/>
    </row>
    <row r="143" spans="1:9" s="12" customFormat="1">
      <c r="A143" s="68"/>
      <c r="B143" s="68"/>
      <c r="C143" s="69"/>
      <c r="D143" s="68"/>
      <c r="E143" s="68"/>
      <c r="F143" s="68"/>
      <c r="G143" s="68"/>
      <c r="H143" s="68"/>
      <c r="I143" s="68"/>
    </row>
    <row r="144" spans="1:9" s="12" customFormat="1">
      <c r="A144" s="68"/>
      <c r="B144" s="68"/>
      <c r="C144" s="69"/>
      <c r="D144" s="68"/>
      <c r="E144" s="68"/>
      <c r="F144" s="68"/>
      <c r="G144" s="68"/>
      <c r="H144" s="68"/>
      <c r="I144" s="68"/>
    </row>
    <row r="145" spans="1:9" s="12" customFormat="1">
      <c r="A145" s="68"/>
      <c r="B145" s="68"/>
      <c r="C145" s="69"/>
      <c r="D145" s="68"/>
      <c r="E145" s="68"/>
      <c r="F145" s="68"/>
      <c r="G145" s="68"/>
      <c r="H145" s="68"/>
      <c r="I145" s="68"/>
    </row>
    <row r="146" spans="1:9" s="12" customFormat="1">
      <c r="A146" s="68"/>
      <c r="B146" s="68"/>
      <c r="C146" s="69"/>
      <c r="D146" s="68"/>
      <c r="E146" s="68"/>
      <c r="F146" s="68"/>
      <c r="G146" s="68"/>
      <c r="H146" s="68"/>
      <c r="I146" s="68"/>
    </row>
    <row r="147" spans="1:9" s="12" customFormat="1">
      <c r="A147" s="68"/>
      <c r="B147" s="68"/>
      <c r="C147" s="69"/>
      <c r="D147" s="68"/>
      <c r="E147" s="68"/>
      <c r="F147" s="68"/>
      <c r="G147" s="68"/>
      <c r="H147" s="68"/>
      <c r="I147" s="68"/>
    </row>
    <row r="148" spans="1:9" s="12" customFormat="1">
      <c r="A148" s="68"/>
      <c r="B148" s="68"/>
      <c r="C148" s="69"/>
      <c r="D148" s="68"/>
      <c r="E148" s="68"/>
      <c r="F148" s="68"/>
      <c r="G148" s="68"/>
      <c r="H148" s="68"/>
      <c r="I148" s="68"/>
    </row>
    <row r="149" spans="1:9" s="12" customFormat="1">
      <c r="A149" s="68"/>
      <c r="B149" s="68"/>
      <c r="C149" s="69"/>
      <c r="D149" s="68"/>
      <c r="E149" s="68"/>
      <c r="F149" s="68"/>
      <c r="G149" s="68"/>
      <c r="H149" s="68"/>
      <c r="I149" s="68"/>
    </row>
    <row r="150" spans="1:9" s="12" customFormat="1">
      <c r="A150" s="68"/>
      <c r="B150" s="68"/>
      <c r="C150" s="69"/>
      <c r="D150" s="68"/>
      <c r="E150" s="68"/>
      <c r="F150" s="68"/>
      <c r="G150" s="68"/>
      <c r="H150" s="68"/>
      <c r="I150" s="68"/>
    </row>
    <row r="151" spans="1:9" s="12" customFormat="1">
      <c r="A151" s="68"/>
      <c r="B151" s="68"/>
      <c r="C151" s="69"/>
      <c r="D151" s="68"/>
      <c r="E151" s="68"/>
      <c r="F151" s="68"/>
      <c r="G151" s="68"/>
      <c r="H151" s="68"/>
      <c r="I151" s="68"/>
    </row>
    <row r="152" spans="1:9" s="12" customFormat="1">
      <c r="A152" s="68"/>
      <c r="B152" s="68"/>
      <c r="C152" s="69"/>
      <c r="D152" s="68"/>
      <c r="E152" s="68"/>
      <c r="F152" s="68"/>
      <c r="G152" s="68"/>
      <c r="H152" s="68"/>
      <c r="I152" s="68"/>
    </row>
    <row r="153" spans="1:9" s="12" customFormat="1">
      <c r="A153" s="68"/>
      <c r="B153" s="68"/>
      <c r="C153" s="69"/>
      <c r="D153" s="68"/>
      <c r="E153" s="68"/>
      <c r="F153" s="68"/>
      <c r="G153" s="68"/>
      <c r="H153" s="68"/>
      <c r="I153" s="68"/>
    </row>
    <row r="154" spans="1:9" s="12" customFormat="1">
      <c r="A154" s="68"/>
      <c r="B154" s="68"/>
      <c r="C154" s="69"/>
      <c r="D154" s="68"/>
      <c r="E154" s="68"/>
      <c r="F154" s="68"/>
      <c r="G154" s="68"/>
      <c r="H154" s="68"/>
      <c r="I154" s="68"/>
    </row>
    <row r="155" spans="1:9" s="12" customFormat="1">
      <c r="A155" s="68"/>
      <c r="B155" s="68"/>
      <c r="C155" s="69"/>
      <c r="D155" s="68"/>
      <c r="E155" s="68"/>
      <c r="F155" s="68"/>
      <c r="G155" s="68"/>
      <c r="H155" s="68"/>
      <c r="I155" s="68"/>
    </row>
    <row r="156" spans="1:9" s="12" customFormat="1">
      <c r="A156" s="68"/>
      <c r="B156" s="68"/>
      <c r="C156" s="69"/>
      <c r="D156" s="68"/>
      <c r="E156" s="68"/>
      <c r="F156" s="68"/>
      <c r="G156" s="68"/>
      <c r="H156" s="68"/>
      <c r="I156" s="68"/>
    </row>
    <row r="157" spans="1:9" s="12" customFormat="1">
      <c r="A157" s="28"/>
      <c r="B157" s="28"/>
      <c r="C157" s="70"/>
      <c r="D157" s="28"/>
      <c r="E157" s="28"/>
      <c r="F157" s="28"/>
      <c r="G157" s="28"/>
      <c r="H157" s="28"/>
      <c r="I157" s="28"/>
    </row>
  </sheetData>
  <sheetProtection selectLockedCells="1"/>
  <mergeCells count="87">
    <mergeCell ref="A109:A112"/>
    <mergeCell ref="C119:C123"/>
    <mergeCell ref="B109:B110"/>
    <mergeCell ref="C109:C110"/>
    <mergeCell ref="B111:B112"/>
    <mergeCell ref="C111:C112"/>
    <mergeCell ref="A113:A128"/>
    <mergeCell ref="A55:A70"/>
    <mergeCell ref="B55:B62"/>
    <mergeCell ref="B63:B70"/>
    <mergeCell ref="C55:C62"/>
    <mergeCell ref="C63:C70"/>
    <mergeCell ref="B39:B46"/>
    <mergeCell ref="C39:C46"/>
    <mergeCell ref="A39:A54"/>
    <mergeCell ref="B47:B54"/>
    <mergeCell ref="C47:C54"/>
    <mergeCell ref="A17:A23"/>
    <mergeCell ref="B17:B23"/>
    <mergeCell ref="B25:B31"/>
    <mergeCell ref="A33:A38"/>
    <mergeCell ref="B37:B38"/>
    <mergeCell ref="B33:B34"/>
    <mergeCell ref="B35:B36"/>
    <mergeCell ref="A25:A31"/>
    <mergeCell ref="A71:A72"/>
    <mergeCell ref="B77:B78"/>
    <mergeCell ref="B73:B76"/>
    <mergeCell ref="B71:B72"/>
    <mergeCell ref="B79:B80"/>
    <mergeCell ref="A73:A82"/>
    <mergeCell ref="B81:B82"/>
    <mergeCell ref="B98:B99"/>
    <mergeCell ref="A133:B133"/>
    <mergeCell ref="B87:B88"/>
    <mergeCell ref="B129:B130"/>
    <mergeCell ref="A129:A130"/>
    <mergeCell ref="B89:B92"/>
    <mergeCell ref="B93:B97"/>
    <mergeCell ref="A83:A92"/>
    <mergeCell ref="A93:A108"/>
    <mergeCell ref="B85:B86"/>
    <mergeCell ref="B114:B118"/>
    <mergeCell ref="B100:B108"/>
    <mergeCell ref="B83:B84"/>
    <mergeCell ref="B124:B128"/>
    <mergeCell ref="B131:B132"/>
    <mergeCell ref="B119:B123"/>
    <mergeCell ref="F118:I118"/>
    <mergeCell ref="F113:I114"/>
    <mergeCell ref="F117:I117"/>
    <mergeCell ref="F116:I116"/>
    <mergeCell ref="F115:I115"/>
    <mergeCell ref="C129:C130"/>
    <mergeCell ref="C114:C118"/>
    <mergeCell ref="C77:C78"/>
    <mergeCell ref="C93:C97"/>
    <mergeCell ref="C89:C92"/>
    <mergeCell ref="C83:C88"/>
    <mergeCell ref="C79:C80"/>
    <mergeCell ref="C98:C99"/>
    <mergeCell ref="C124:C128"/>
    <mergeCell ref="C81:C82"/>
    <mergeCell ref="A1:D1"/>
    <mergeCell ref="B13:B14"/>
    <mergeCell ref="A3:A9"/>
    <mergeCell ref="F1:G1"/>
    <mergeCell ref="A11:A16"/>
    <mergeCell ref="B11:B12"/>
    <mergeCell ref="C11:C12"/>
    <mergeCell ref="B15:B16"/>
    <mergeCell ref="C13:C14"/>
    <mergeCell ref="B9:C9"/>
    <mergeCell ref="F2:G2"/>
    <mergeCell ref="C15:C16"/>
    <mergeCell ref="D108:I108"/>
    <mergeCell ref="E3:E9"/>
    <mergeCell ref="C37:C38"/>
    <mergeCell ref="D75:D76"/>
    <mergeCell ref="C33:C34"/>
    <mergeCell ref="C71:C72"/>
    <mergeCell ref="C73:C76"/>
    <mergeCell ref="C100:C108"/>
    <mergeCell ref="G37:G38"/>
    <mergeCell ref="C35:C36"/>
    <mergeCell ref="C17:C24"/>
    <mergeCell ref="C25:C32"/>
  </mergeCells>
  <phoneticPr fontId="2" type="noConversion"/>
  <printOptions horizontalCentered="1"/>
  <pageMargins left="0.74803149606299213" right="0.74803149606299213" top="0.6692913385826772" bottom="0.31496062992125984" header="0.51181102362204722" footer="0.51181102362204722"/>
  <pageSetup paperSize="9" scale="52" fitToHeight="2" orientation="portrait" horizontalDpi="300" verticalDpi="300" r:id="rId1"/>
  <headerFooter alignWithMargins="0"/>
  <rowBreaks count="1" manualBreakCount="1">
    <brk id="92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124"/>
  <sheetViews>
    <sheetView view="pageBreakPreview" topLeftCell="A4" zoomScale="85" zoomScaleNormal="115" workbookViewId="0">
      <selection activeCell="J7" sqref="J7"/>
    </sheetView>
  </sheetViews>
  <sheetFormatPr defaultRowHeight="12" customHeight="1"/>
  <cols>
    <col min="1" max="1" width="14.6640625" style="136" customWidth="1"/>
    <col min="2" max="2" width="5.33203125" style="132" customWidth="1"/>
    <col min="3" max="3" width="17.88671875" style="132" customWidth="1"/>
    <col min="4" max="4" width="35.88671875" style="132" customWidth="1"/>
    <col min="5" max="5" width="13.44140625" style="132" customWidth="1"/>
    <col min="6" max="6" width="5.44140625" style="133" customWidth="1"/>
    <col min="7" max="7" width="10.5546875" style="140" customWidth="1"/>
    <col min="8" max="8" width="10.6640625" style="140" customWidth="1"/>
    <col min="9" max="9" width="10.5546875" style="134" customWidth="1"/>
    <col min="10" max="10" width="8.5546875" style="135" customWidth="1"/>
    <col min="11" max="16384" width="8.88671875" style="127"/>
  </cols>
  <sheetData>
    <row r="1" spans="1:12" s="124" customFormat="1" ht="30" customHeight="1" thickBot="1">
      <c r="A1" s="320" t="s">
        <v>591</v>
      </c>
      <c r="B1" s="321"/>
      <c r="C1" s="320" t="str">
        <f>기술투자!B7</f>
        <v>＊＊엔지니어링</v>
      </c>
      <c r="D1" s="320"/>
      <c r="E1" s="320"/>
      <c r="F1" s="280"/>
      <c r="G1" s="539" t="s">
        <v>592</v>
      </c>
      <c r="H1" s="588">
        <v>42213</v>
      </c>
      <c r="I1" s="120"/>
      <c r="J1" s="120"/>
      <c r="K1" s="123"/>
      <c r="L1" s="123"/>
    </row>
    <row r="2" spans="1:12" s="125" customFormat="1" ht="35.1" customHeight="1">
      <c r="A2" s="541" t="s">
        <v>207</v>
      </c>
      <c r="B2" s="423" t="s">
        <v>208</v>
      </c>
      <c r="C2" s="423" t="s">
        <v>209</v>
      </c>
      <c r="D2" s="423" t="s">
        <v>593</v>
      </c>
      <c r="E2" s="423" t="s">
        <v>212</v>
      </c>
      <c r="F2" s="423" t="s">
        <v>213</v>
      </c>
      <c r="G2" s="423" t="s">
        <v>215</v>
      </c>
      <c r="H2" s="423" t="s">
        <v>210</v>
      </c>
      <c r="I2" s="423" t="s">
        <v>211</v>
      </c>
      <c r="J2" s="542" t="s">
        <v>174</v>
      </c>
    </row>
    <row r="3" spans="1:12" s="126" customFormat="1" ht="106.5" customHeight="1">
      <c r="A3" s="581" t="s">
        <v>260</v>
      </c>
      <c r="B3" s="256">
        <v>1</v>
      </c>
      <c r="C3" s="199" t="s">
        <v>644</v>
      </c>
      <c r="D3" s="190" t="s">
        <v>650</v>
      </c>
      <c r="E3" s="546" t="s">
        <v>645</v>
      </c>
      <c r="F3" s="277">
        <v>4</v>
      </c>
      <c r="G3" s="274">
        <v>40977</v>
      </c>
      <c r="H3" s="275">
        <f>$H$1-G3</f>
        <v>1236</v>
      </c>
      <c r="I3" s="276">
        <v>42802</v>
      </c>
      <c r="J3" s="543">
        <f>2/F3</f>
        <v>0.5</v>
      </c>
    </row>
    <row r="4" spans="1:12" s="424" customFormat="1" ht="35.1" customHeight="1">
      <c r="A4" s="1133" t="s">
        <v>214</v>
      </c>
      <c r="B4" s="1134"/>
      <c r="C4" s="1134"/>
      <c r="D4" s="1134"/>
      <c r="E4" s="1134"/>
      <c r="F4" s="1134"/>
      <c r="G4" s="1134"/>
      <c r="H4" s="1134"/>
      <c r="I4" s="1135"/>
      <c r="J4" s="544">
        <f>SUM(J3:J3)</f>
        <v>0.5</v>
      </c>
    </row>
    <row r="5" spans="1:12" s="126" customFormat="1" ht="35.1" customHeight="1">
      <c r="A5" s="581" t="s">
        <v>594</v>
      </c>
      <c r="B5" s="256"/>
      <c r="C5" s="256"/>
      <c r="D5" s="256" t="s">
        <v>649</v>
      </c>
      <c r="E5" s="272"/>
      <c r="F5" s="273"/>
      <c r="G5" s="274"/>
      <c r="H5" s="275"/>
      <c r="I5" s="276"/>
      <c r="J5" s="543"/>
    </row>
    <row r="6" spans="1:12" s="425" customFormat="1" ht="35.1" customHeight="1">
      <c r="A6" s="1133" t="s">
        <v>595</v>
      </c>
      <c r="B6" s="1134"/>
      <c r="C6" s="1134"/>
      <c r="D6" s="1134"/>
      <c r="E6" s="1134"/>
      <c r="F6" s="1134"/>
      <c r="G6" s="1134"/>
      <c r="H6" s="1134"/>
      <c r="I6" s="1135"/>
      <c r="J6" s="544">
        <f>SUM(J5:J5)</f>
        <v>0</v>
      </c>
    </row>
    <row r="7" spans="1:12" ht="276.75" customHeight="1">
      <c r="A7" s="581" t="s">
        <v>648</v>
      </c>
      <c r="B7" s="256">
        <v>1</v>
      </c>
      <c r="C7" s="199" t="s">
        <v>680</v>
      </c>
      <c r="D7" s="692" t="s">
        <v>680</v>
      </c>
      <c r="E7" s="272" t="s">
        <v>680</v>
      </c>
      <c r="F7" s="277">
        <v>1</v>
      </c>
      <c r="G7" s="693">
        <v>38845</v>
      </c>
      <c r="H7" s="275">
        <f t="shared" ref="H7" si="0">$H$1-G7</f>
        <v>3368</v>
      </c>
      <c r="I7" s="276">
        <v>46150</v>
      </c>
      <c r="J7" s="543">
        <f t="shared" ref="J7" si="1">1/F7</f>
        <v>1</v>
      </c>
    </row>
    <row r="8" spans="1:12" s="425" customFormat="1" ht="31.5" customHeight="1">
      <c r="A8" s="1133" t="s">
        <v>597</v>
      </c>
      <c r="B8" s="1134"/>
      <c r="C8" s="1134"/>
      <c r="D8" s="1134"/>
      <c r="E8" s="1134"/>
      <c r="F8" s="1134"/>
      <c r="G8" s="1134"/>
      <c r="H8" s="1134"/>
      <c r="I8" s="1135"/>
      <c r="J8" s="544">
        <f>SUM(J7:J7)</f>
        <v>1</v>
      </c>
    </row>
    <row r="9" spans="1:12" ht="41.25" customHeight="1">
      <c r="A9" s="581" t="s">
        <v>596</v>
      </c>
      <c r="B9" s="256"/>
      <c r="C9" s="199"/>
      <c r="D9" s="199" t="s">
        <v>647</v>
      </c>
      <c r="E9" s="546"/>
      <c r="F9" s="273"/>
      <c r="G9" s="547"/>
      <c r="H9" s="275"/>
      <c r="I9" s="584"/>
      <c r="J9" s="543">
        <v>0</v>
      </c>
    </row>
    <row r="10" spans="1:12" s="424" customFormat="1" ht="35.1" customHeight="1">
      <c r="A10" s="1133" t="s">
        <v>598</v>
      </c>
      <c r="B10" s="1134"/>
      <c r="C10" s="1134"/>
      <c r="D10" s="1134"/>
      <c r="E10" s="1134"/>
      <c r="F10" s="1134"/>
      <c r="G10" s="1134"/>
      <c r="H10" s="1134"/>
      <c r="I10" s="1135"/>
      <c r="J10" s="544">
        <f>SUM(J9:J9)</f>
        <v>0</v>
      </c>
    </row>
    <row r="11" spans="1:12" s="126" customFormat="1" ht="41.25" customHeight="1">
      <c r="A11" s="581" t="s">
        <v>599</v>
      </c>
      <c r="B11" s="256"/>
      <c r="C11" s="256"/>
      <c r="D11" s="199" t="s">
        <v>647</v>
      </c>
      <c r="E11" s="546"/>
      <c r="F11" s="273"/>
      <c r="G11" s="274"/>
      <c r="H11" s="275"/>
      <c r="I11" s="276"/>
      <c r="J11" s="543">
        <v>0</v>
      </c>
    </row>
    <row r="12" spans="1:12" s="424" customFormat="1" ht="35.1" customHeight="1">
      <c r="A12" s="1133" t="s">
        <v>600</v>
      </c>
      <c r="B12" s="1134"/>
      <c r="C12" s="1134"/>
      <c r="D12" s="1134"/>
      <c r="E12" s="1134"/>
      <c r="F12" s="1134"/>
      <c r="G12" s="1134"/>
      <c r="H12" s="1134"/>
      <c r="I12" s="1135"/>
      <c r="J12" s="544">
        <f>SUM(J11:J11)</f>
        <v>0</v>
      </c>
    </row>
    <row r="13" spans="1:12" s="126" customFormat="1" ht="42.75" customHeight="1">
      <c r="A13" s="581" t="s">
        <v>601</v>
      </c>
      <c r="B13" s="256"/>
      <c r="C13" s="256"/>
      <c r="D13" s="256" t="s">
        <v>647</v>
      </c>
      <c r="E13" s="272"/>
      <c r="F13" s="273"/>
      <c r="G13" s="274"/>
      <c r="H13" s="275"/>
      <c r="I13" s="276"/>
      <c r="J13" s="543">
        <v>0</v>
      </c>
    </row>
    <row r="14" spans="1:12" s="424" customFormat="1" ht="35.1" customHeight="1" thickBot="1">
      <c r="A14" s="1136" t="s">
        <v>602</v>
      </c>
      <c r="B14" s="1137"/>
      <c r="C14" s="1137"/>
      <c r="D14" s="1137"/>
      <c r="E14" s="1137"/>
      <c r="F14" s="1137"/>
      <c r="G14" s="1137"/>
      <c r="H14" s="1137"/>
      <c r="I14" s="1138"/>
      <c r="J14" s="545">
        <f>SUM(J13:J13)</f>
        <v>0</v>
      </c>
    </row>
    <row r="15" spans="1:12" s="195" customFormat="1" ht="24.95" customHeight="1">
      <c r="A15" s="247" t="s">
        <v>603</v>
      </c>
      <c r="B15" s="159" t="s">
        <v>604</v>
      </c>
      <c r="C15" s="270"/>
      <c r="D15" s="270"/>
      <c r="E15" s="270"/>
      <c r="F15" s="271"/>
      <c r="G15" s="271"/>
      <c r="H15" s="271"/>
      <c r="I15" s="278"/>
      <c r="J15" s="197"/>
    </row>
    <row r="16" spans="1:12" s="195" customFormat="1" ht="24.95" customHeight="1">
      <c r="A16" s="247" t="s">
        <v>605</v>
      </c>
      <c r="B16" s="159" t="s">
        <v>606</v>
      </c>
      <c r="C16" s="270"/>
      <c r="D16" s="270"/>
      <c r="E16" s="270"/>
      <c r="F16" s="271"/>
      <c r="G16" s="271"/>
      <c r="H16" s="271"/>
      <c r="I16" s="278"/>
      <c r="J16" s="197"/>
    </row>
    <row r="17" spans="1:10" s="195" customFormat="1" ht="24.95" customHeight="1">
      <c r="A17" s="247" t="s">
        <v>607</v>
      </c>
      <c r="B17" s="159" t="s">
        <v>608</v>
      </c>
      <c r="C17" s="270"/>
      <c r="D17" s="270"/>
      <c r="E17" s="270"/>
      <c r="F17" s="271"/>
      <c r="G17" s="271"/>
      <c r="H17" s="271"/>
      <c r="I17" s="278"/>
      <c r="J17" s="197"/>
    </row>
    <row r="18" spans="1:10" ht="15" customHeight="1">
      <c r="A18" s="131"/>
      <c r="G18" s="133"/>
      <c r="H18" s="133"/>
    </row>
    <row r="19" spans="1:10" ht="15" customHeight="1">
      <c r="A19" s="131"/>
      <c r="G19" s="133"/>
      <c r="H19" s="133"/>
    </row>
    <row r="20" spans="1:10" ht="15" customHeight="1">
      <c r="C20" s="137"/>
      <c r="D20" s="137"/>
      <c r="E20" s="137"/>
      <c r="F20" s="138"/>
      <c r="G20" s="139"/>
      <c r="H20" s="139"/>
    </row>
    <row r="21" spans="1:10" ht="15" customHeight="1">
      <c r="C21" s="137"/>
      <c r="D21" s="137"/>
      <c r="E21" s="137"/>
      <c r="F21" s="138"/>
      <c r="G21" s="139"/>
      <c r="H21" s="139"/>
    </row>
    <row r="22" spans="1:10" ht="15" customHeight="1">
      <c r="C22" s="137"/>
      <c r="D22" s="137"/>
      <c r="E22" s="137"/>
      <c r="F22" s="138"/>
      <c r="G22" s="139"/>
      <c r="H22" s="139"/>
    </row>
    <row r="23" spans="1:10" ht="15" customHeight="1">
      <c r="C23" s="137"/>
      <c r="D23" s="137"/>
      <c r="E23" s="137"/>
      <c r="F23" s="138"/>
      <c r="G23" s="139"/>
      <c r="H23" s="139"/>
    </row>
    <row r="24" spans="1:10" ht="15" customHeight="1">
      <c r="C24" s="137"/>
      <c r="D24" s="137"/>
      <c r="E24" s="137"/>
      <c r="F24" s="138"/>
      <c r="G24" s="139"/>
      <c r="H24" s="139"/>
    </row>
    <row r="25" spans="1:10" ht="12" customHeight="1">
      <c r="C25" s="137"/>
      <c r="D25" s="137"/>
      <c r="E25" s="137"/>
      <c r="F25" s="138"/>
      <c r="G25" s="139"/>
      <c r="H25" s="139"/>
    </row>
    <row r="26" spans="1:10" ht="12" customHeight="1">
      <c r="C26" s="137"/>
      <c r="D26" s="137"/>
      <c r="E26" s="137"/>
      <c r="F26" s="138"/>
      <c r="G26" s="139"/>
      <c r="H26" s="139"/>
    </row>
    <row r="27" spans="1:10" ht="12" customHeight="1">
      <c r="C27" s="137"/>
      <c r="D27" s="137"/>
      <c r="E27" s="137"/>
      <c r="F27" s="138"/>
      <c r="G27" s="139"/>
      <c r="H27" s="139"/>
    </row>
    <row r="28" spans="1:10" ht="12" customHeight="1">
      <c r="C28" s="137"/>
      <c r="D28" s="137"/>
      <c r="E28" s="137"/>
      <c r="F28" s="138"/>
      <c r="G28" s="139"/>
      <c r="H28" s="139"/>
    </row>
    <row r="29" spans="1:10" ht="12" customHeight="1">
      <c r="C29" s="137"/>
      <c r="D29" s="137"/>
      <c r="E29" s="137"/>
      <c r="F29" s="138"/>
      <c r="G29" s="139"/>
      <c r="H29" s="139"/>
    </row>
    <row r="30" spans="1:10" ht="12" customHeight="1">
      <c r="C30" s="137"/>
      <c r="D30" s="137"/>
      <c r="E30" s="137"/>
      <c r="F30" s="138"/>
      <c r="G30" s="139"/>
      <c r="H30" s="139"/>
    </row>
    <row r="31" spans="1:10" ht="12" customHeight="1">
      <c r="C31" s="137"/>
      <c r="D31" s="137"/>
      <c r="E31" s="137"/>
      <c r="F31" s="138"/>
      <c r="G31" s="139"/>
      <c r="H31" s="139"/>
    </row>
    <row r="32" spans="1:10" ht="12" customHeight="1">
      <c r="C32" s="137"/>
      <c r="D32" s="137"/>
      <c r="E32" s="137"/>
      <c r="F32" s="138"/>
      <c r="G32" s="139"/>
      <c r="H32" s="139"/>
    </row>
    <row r="33" spans="3:8" ht="12" customHeight="1">
      <c r="C33" s="137"/>
      <c r="D33" s="137"/>
      <c r="E33" s="137"/>
      <c r="F33" s="138"/>
      <c r="G33" s="139"/>
      <c r="H33" s="139"/>
    </row>
    <row r="34" spans="3:8" ht="12" customHeight="1">
      <c r="C34" s="137"/>
      <c r="D34" s="137"/>
      <c r="E34" s="137"/>
      <c r="F34" s="138"/>
      <c r="G34" s="139"/>
      <c r="H34" s="139"/>
    </row>
    <row r="35" spans="3:8" ht="12" customHeight="1">
      <c r="C35" s="137"/>
      <c r="D35" s="137"/>
      <c r="E35" s="137"/>
      <c r="F35" s="138"/>
      <c r="G35" s="139"/>
      <c r="H35" s="139"/>
    </row>
    <row r="36" spans="3:8" ht="12" customHeight="1">
      <c r="C36" s="137"/>
      <c r="D36" s="137"/>
      <c r="E36" s="137"/>
      <c r="F36" s="138"/>
      <c r="G36" s="139"/>
      <c r="H36" s="139"/>
    </row>
    <row r="37" spans="3:8" ht="12" customHeight="1">
      <c r="C37" s="137"/>
      <c r="D37" s="137"/>
      <c r="E37" s="137"/>
      <c r="F37" s="138"/>
      <c r="G37" s="139"/>
      <c r="H37" s="139"/>
    </row>
    <row r="38" spans="3:8" ht="12" customHeight="1">
      <c r="C38" s="137"/>
      <c r="D38" s="137"/>
      <c r="E38" s="137"/>
      <c r="F38" s="138"/>
      <c r="G38" s="139"/>
      <c r="H38" s="139"/>
    </row>
    <row r="39" spans="3:8" ht="12" customHeight="1">
      <c r="C39" s="137"/>
      <c r="D39" s="137"/>
      <c r="E39" s="137"/>
      <c r="F39" s="138"/>
      <c r="G39" s="139"/>
      <c r="H39" s="139"/>
    </row>
    <row r="40" spans="3:8" ht="12" customHeight="1">
      <c r="C40" s="137"/>
      <c r="D40" s="137"/>
      <c r="E40" s="137"/>
      <c r="F40" s="138"/>
      <c r="G40" s="139"/>
      <c r="H40" s="139"/>
    </row>
    <row r="41" spans="3:8" ht="12" customHeight="1">
      <c r="C41" s="137"/>
      <c r="D41" s="137"/>
      <c r="E41" s="137"/>
      <c r="F41" s="138"/>
      <c r="G41" s="139"/>
      <c r="H41" s="139"/>
    </row>
    <row r="42" spans="3:8" ht="12" customHeight="1">
      <c r="C42" s="137"/>
      <c r="D42" s="137"/>
      <c r="E42" s="137"/>
      <c r="F42" s="138"/>
      <c r="G42" s="139"/>
      <c r="H42" s="139"/>
    </row>
    <row r="43" spans="3:8" ht="12" customHeight="1">
      <c r="C43" s="137"/>
      <c r="D43" s="137"/>
      <c r="E43" s="137"/>
      <c r="F43" s="138"/>
      <c r="G43" s="139"/>
      <c r="H43" s="139"/>
    </row>
    <row r="44" spans="3:8" ht="12" customHeight="1">
      <c r="C44" s="137"/>
      <c r="D44" s="137"/>
      <c r="E44" s="137"/>
      <c r="F44" s="138"/>
      <c r="G44" s="139"/>
      <c r="H44" s="139"/>
    </row>
    <row r="45" spans="3:8" ht="12" customHeight="1">
      <c r="C45" s="137"/>
      <c r="D45" s="137"/>
      <c r="E45" s="137"/>
      <c r="F45" s="138"/>
      <c r="G45" s="139"/>
      <c r="H45" s="139"/>
    </row>
    <row r="46" spans="3:8" ht="12" customHeight="1">
      <c r="C46" s="137"/>
      <c r="D46" s="137"/>
      <c r="E46" s="137"/>
      <c r="F46" s="138"/>
      <c r="G46" s="139"/>
      <c r="H46" s="139"/>
    </row>
    <row r="47" spans="3:8" ht="12" customHeight="1">
      <c r="C47" s="137"/>
      <c r="D47" s="137"/>
      <c r="E47" s="137"/>
      <c r="F47" s="138"/>
      <c r="G47" s="139"/>
      <c r="H47" s="139"/>
    </row>
    <row r="48" spans="3:8" ht="12" customHeight="1">
      <c r="C48" s="137"/>
      <c r="D48" s="137"/>
      <c r="E48" s="137"/>
      <c r="F48" s="138"/>
      <c r="G48" s="139"/>
      <c r="H48" s="139"/>
    </row>
    <row r="49" spans="3:8" ht="12" customHeight="1">
      <c r="C49" s="137"/>
      <c r="D49" s="137"/>
      <c r="E49" s="137"/>
      <c r="F49" s="138"/>
      <c r="G49" s="139"/>
      <c r="H49" s="139"/>
    </row>
    <row r="50" spans="3:8" ht="12" customHeight="1">
      <c r="C50" s="137"/>
      <c r="D50" s="137"/>
      <c r="E50" s="137"/>
      <c r="F50" s="138"/>
      <c r="G50" s="139"/>
      <c r="H50" s="139"/>
    </row>
    <row r="51" spans="3:8" ht="12" customHeight="1">
      <c r="C51" s="137"/>
      <c r="D51" s="137"/>
      <c r="E51" s="137"/>
      <c r="F51" s="138"/>
      <c r="G51" s="139"/>
      <c r="H51" s="139"/>
    </row>
    <row r="52" spans="3:8" ht="12" customHeight="1">
      <c r="C52" s="137"/>
      <c r="D52" s="137"/>
      <c r="E52" s="137"/>
      <c r="F52" s="138"/>
      <c r="G52" s="139"/>
      <c r="H52" s="139"/>
    </row>
    <row r="53" spans="3:8" ht="12" customHeight="1">
      <c r="C53" s="137"/>
      <c r="D53" s="137"/>
      <c r="E53" s="137"/>
      <c r="F53" s="138"/>
      <c r="G53" s="139"/>
      <c r="H53" s="139"/>
    </row>
    <row r="54" spans="3:8" ht="12" customHeight="1">
      <c r="C54" s="137"/>
      <c r="D54" s="137"/>
      <c r="E54" s="137"/>
      <c r="F54" s="138"/>
      <c r="G54" s="139"/>
      <c r="H54" s="139"/>
    </row>
    <row r="55" spans="3:8" ht="12" customHeight="1">
      <c r="C55" s="137"/>
      <c r="D55" s="137"/>
      <c r="E55" s="137"/>
      <c r="F55" s="138"/>
      <c r="G55" s="139"/>
      <c r="H55" s="139"/>
    </row>
    <row r="56" spans="3:8" ht="12" customHeight="1">
      <c r="C56" s="137"/>
      <c r="D56" s="137"/>
      <c r="E56" s="137"/>
      <c r="F56" s="138"/>
      <c r="G56" s="139"/>
      <c r="H56" s="139"/>
    </row>
    <row r="57" spans="3:8" ht="12" customHeight="1">
      <c r="C57" s="137"/>
      <c r="D57" s="137"/>
      <c r="E57" s="137"/>
      <c r="F57" s="138"/>
      <c r="G57" s="139"/>
      <c r="H57" s="139"/>
    </row>
    <row r="58" spans="3:8" ht="12" customHeight="1">
      <c r="C58" s="137"/>
      <c r="D58" s="137"/>
      <c r="E58" s="137"/>
      <c r="F58" s="138"/>
      <c r="G58" s="139"/>
      <c r="H58" s="139"/>
    </row>
    <row r="59" spans="3:8" ht="12" customHeight="1">
      <c r="C59" s="137"/>
      <c r="D59" s="137"/>
      <c r="E59" s="137"/>
      <c r="F59" s="138"/>
      <c r="G59" s="139"/>
      <c r="H59" s="139"/>
    </row>
    <row r="60" spans="3:8" ht="12" customHeight="1">
      <c r="C60" s="137"/>
      <c r="D60" s="137"/>
      <c r="E60" s="137"/>
      <c r="F60" s="138"/>
      <c r="G60" s="139"/>
      <c r="H60" s="139"/>
    </row>
    <row r="61" spans="3:8" ht="12" customHeight="1">
      <c r="C61" s="137"/>
      <c r="D61" s="137"/>
      <c r="E61" s="137"/>
      <c r="F61" s="138"/>
      <c r="G61" s="139"/>
      <c r="H61" s="139"/>
    </row>
    <row r="62" spans="3:8" ht="12" customHeight="1">
      <c r="C62" s="137"/>
      <c r="D62" s="137"/>
      <c r="E62" s="137"/>
      <c r="F62" s="138"/>
      <c r="G62" s="139"/>
      <c r="H62" s="139"/>
    </row>
    <row r="63" spans="3:8" ht="12" customHeight="1">
      <c r="C63" s="137"/>
      <c r="D63" s="137"/>
      <c r="E63" s="137"/>
      <c r="F63" s="138"/>
      <c r="G63" s="139"/>
      <c r="H63" s="139"/>
    </row>
    <row r="64" spans="3:8" ht="12" customHeight="1">
      <c r="C64" s="137"/>
      <c r="D64" s="137"/>
      <c r="E64" s="137"/>
      <c r="F64" s="138"/>
      <c r="G64" s="139"/>
      <c r="H64" s="139"/>
    </row>
    <row r="65" spans="3:8" ht="12" customHeight="1">
      <c r="C65" s="137"/>
      <c r="D65" s="137"/>
      <c r="E65" s="137"/>
      <c r="F65" s="138"/>
      <c r="G65" s="139"/>
      <c r="H65" s="139"/>
    </row>
    <row r="66" spans="3:8" ht="12" customHeight="1">
      <c r="C66" s="137"/>
      <c r="D66" s="137"/>
      <c r="E66" s="137"/>
      <c r="F66" s="138"/>
      <c r="G66" s="139"/>
      <c r="H66" s="139"/>
    </row>
    <row r="67" spans="3:8" ht="12" customHeight="1">
      <c r="C67" s="137"/>
      <c r="D67" s="137"/>
      <c r="E67" s="137"/>
      <c r="F67" s="138"/>
      <c r="G67" s="139"/>
      <c r="H67" s="139"/>
    </row>
    <row r="68" spans="3:8" ht="12" customHeight="1">
      <c r="C68" s="137"/>
      <c r="D68" s="137"/>
      <c r="E68" s="137"/>
      <c r="F68" s="138"/>
      <c r="G68" s="139"/>
      <c r="H68" s="139"/>
    </row>
    <row r="69" spans="3:8" ht="12" customHeight="1">
      <c r="C69" s="137"/>
      <c r="D69" s="137"/>
      <c r="E69" s="137"/>
      <c r="F69" s="138"/>
      <c r="G69" s="139"/>
      <c r="H69" s="139"/>
    </row>
    <row r="70" spans="3:8" ht="12" customHeight="1">
      <c r="C70" s="137"/>
      <c r="D70" s="137"/>
      <c r="E70" s="137"/>
      <c r="F70" s="138"/>
      <c r="G70" s="139"/>
      <c r="H70" s="139"/>
    </row>
    <row r="71" spans="3:8" ht="12" customHeight="1">
      <c r="C71" s="137"/>
      <c r="D71" s="137"/>
      <c r="E71" s="137"/>
      <c r="F71" s="138"/>
      <c r="G71" s="139"/>
      <c r="H71" s="139"/>
    </row>
    <row r="72" spans="3:8" ht="12" customHeight="1">
      <c r="C72" s="137"/>
      <c r="D72" s="137"/>
      <c r="E72" s="137"/>
      <c r="F72" s="138"/>
      <c r="G72" s="139"/>
      <c r="H72" s="139"/>
    </row>
    <row r="73" spans="3:8" ht="12" customHeight="1">
      <c r="C73" s="137"/>
      <c r="D73" s="137"/>
      <c r="E73" s="137"/>
      <c r="F73" s="138"/>
      <c r="G73" s="139"/>
      <c r="H73" s="139"/>
    </row>
    <row r="74" spans="3:8" ht="12" customHeight="1">
      <c r="C74" s="137"/>
      <c r="D74" s="137"/>
      <c r="E74" s="137"/>
      <c r="F74" s="138"/>
      <c r="G74" s="139"/>
      <c r="H74" s="139"/>
    </row>
    <row r="75" spans="3:8" ht="12" customHeight="1">
      <c r="C75" s="137"/>
      <c r="D75" s="137"/>
      <c r="E75" s="137"/>
      <c r="F75" s="138"/>
      <c r="G75" s="139"/>
      <c r="H75" s="139"/>
    </row>
    <row r="76" spans="3:8" ht="12" customHeight="1">
      <c r="C76" s="137"/>
      <c r="D76" s="137"/>
      <c r="E76" s="137"/>
      <c r="F76" s="138"/>
      <c r="G76" s="139"/>
      <c r="H76" s="139"/>
    </row>
    <row r="77" spans="3:8" ht="12" customHeight="1">
      <c r="C77" s="137"/>
      <c r="D77" s="137"/>
      <c r="E77" s="137"/>
      <c r="F77" s="138"/>
      <c r="G77" s="139"/>
      <c r="H77" s="139"/>
    </row>
    <row r="78" spans="3:8" ht="12" customHeight="1">
      <c r="C78" s="137"/>
      <c r="D78" s="137"/>
      <c r="E78" s="137"/>
      <c r="F78" s="138"/>
      <c r="G78" s="139"/>
      <c r="H78" s="139"/>
    </row>
    <row r="79" spans="3:8" ht="12" customHeight="1">
      <c r="C79" s="137"/>
      <c r="D79" s="137"/>
      <c r="E79" s="137"/>
      <c r="F79" s="138"/>
      <c r="G79" s="139"/>
      <c r="H79" s="139"/>
    </row>
    <row r="80" spans="3:8" ht="12" customHeight="1">
      <c r="C80" s="137"/>
      <c r="D80" s="137"/>
      <c r="E80" s="137"/>
      <c r="F80" s="138"/>
      <c r="G80" s="139"/>
      <c r="H80" s="139"/>
    </row>
    <row r="81" spans="3:8" ht="12" customHeight="1">
      <c r="C81" s="137"/>
      <c r="D81" s="137"/>
      <c r="E81" s="137"/>
      <c r="F81" s="138"/>
      <c r="G81" s="139"/>
      <c r="H81" s="139"/>
    </row>
    <row r="82" spans="3:8" ht="12" customHeight="1">
      <c r="C82" s="137"/>
      <c r="D82" s="137"/>
      <c r="E82" s="137"/>
      <c r="F82" s="138"/>
      <c r="G82" s="139"/>
      <c r="H82" s="139"/>
    </row>
    <row r="83" spans="3:8" ht="12" customHeight="1">
      <c r="C83" s="137"/>
      <c r="D83" s="137"/>
      <c r="E83" s="137"/>
      <c r="F83" s="138"/>
      <c r="G83" s="139"/>
      <c r="H83" s="139"/>
    </row>
    <row r="84" spans="3:8" ht="12" customHeight="1">
      <c r="C84" s="137"/>
      <c r="D84" s="137"/>
      <c r="E84" s="137"/>
      <c r="F84" s="138"/>
      <c r="G84" s="139"/>
      <c r="H84" s="139"/>
    </row>
    <row r="85" spans="3:8" ht="12" customHeight="1">
      <c r="C85" s="137"/>
      <c r="D85" s="137"/>
      <c r="E85" s="137"/>
      <c r="F85" s="138"/>
      <c r="G85" s="139"/>
      <c r="H85" s="139"/>
    </row>
    <row r="86" spans="3:8" ht="12" customHeight="1">
      <c r="C86" s="137"/>
      <c r="D86" s="137"/>
      <c r="E86" s="137"/>
      <c r="F86" s="138"/>
      <c r="G86" s="139"/>
      <c r="H86" s="139"/>
    </row>
    <row r="87" spans="3:8" ht="12" customHeight="1">
      <c r="C87" s="137"/>
      <c r="D87" s="137"/>
      <c r="E87" s="137"/>
      <c r="F87" s="138"/>
      <c r="G87" s="139"/>
      <c r="H87" s="139"/>
    </row>
    <row r="88" spans="3:8" ht="12" customHeight="1">
      <c r="C88" s="137"/>
      <c r="D88" s="137"/>
      <c r="E88" s="137"/>
      <c r="F88" s="138"/>
      <c r="G88" s="139"/>
      <c r="H88" s="139"/>
    </row>
    <row r="89" spans="3:8" ht="12" customHeight="1">
      <c r="C89" s="137"/>
      <c r="D89" s="137"/>
      <c r="E89" s="137"/>
      <c r="F89" s="138"/>
      <c r="G89" s="139"/>
      <c r="H89" s="139"/>
    </row>
    <row r="90" spans="3:8" ht="12" customHeight="1">
      <c r="C90" s="137"/>
      <c r="D90" s="137"/>
      <c r="E90" s="137"/>
      <c r="F90" s="138"/>
      <c r="G90" s="139"/>
      <c r="H90" s="139"/>
    </row>
    <row r="91" spans="3:8" ht="12" customHeight="1">
      <c r="C91" s="137"/>
      <c r="D91" s="137"/>
      <c r="E91" s="137"/>
      <c r="F91" s="138"/>
      <c r="G91" s="139"/>
      <c r="H91" s="139"/>
    </row>
    <row r="92" spans="3:8" ht="12" customHeight="1">
      <c r="C92" s="137"/>
      <c r="D92" s="137"/>
      <c r="E92" s="137"/>
      <c r="F92" s="138"/>
      <c r="G92" s="139"/>
      <c r="H92" s="139"/>
    </row>
    <row r="93" spans="3:8" ht="12" customHeight="1">
      <c r="C93" s="137"/>
      <c r="D93" s="137"/>
      <c r="E93" s="137"/>
      <c r="F93" s="138"/>
      <c r="G93" s="139"/>
      <c r="H93" s="139"/>
    </row>
    <row r="94" spans="3:8" ht="12" customHeight="1">
      <c r="C94" s="137"/>
      <c r="D94" s="137"/>
      <c r="E94" s="137"/>
      <c r="F94" s="138"/>
      <c r="G94" s="139"/>
      <c r="H94" s="139"/>
    </row>
    <row r="95" spans="3:8" ht="12" customHeight="1">
      <c r="C95" s="137"/>
      <c r="D95" s="137"/>
      <c r="E95" s="137"/>
      <c r="F95" s="138"/>
      <c r="G95" s="139"/>
      <c r="H95" s="139"/>
    </row>
    <row r="96" spans="3:8" ht="12" customHeight="1">
      <c r="C96" s="137"/>
      <c r="D96" s="137"/>
      <c r="E96" s="137"/>
      <c r="F96" s="138"/>
      <c r="G96" s="139"/>
      <c r="H96" s="139"/>
    </row>
    <row r="97" spans="3:8" ht="12" customHeight="1">
      <c r="C97" s="137"/>
      <c r="D97" s="137"/>
      <c r="E97" s="137"/>
      <c r="F97" s="138"/>
      <c r="G97" s="139"/>
      <c r="H97" s="139"/>
    </row>
    <row r="98" spans="3:8" ht="12" customHeight="1">
      <c r="C98" s="137"/>
      <c r="D98" s="137"/>
      <c r="E98" s="137"/>
      <c r="F98" s="138"/>
      <c r="G98" s="139"/>
      <c r="H98" s="139"/>
    </row>
    <row r="99" spans="3:8" ht="12" customHeight="1">
      <c r="C99" s="137"/>
      <c r="D99" s="137"/>
      <c r="E99" s="137"/>
      <c r="F99" s="138"/>
      <c r="G99" s="139"/>
      <c r="H99" s="139"/>
    </row>
    <row r="100" spans="3:8" ht="12" customHeight="1">
      <c r="C100" s="137"/>
      <c r="D100" s="137"/>
      <c r="E100" s="137"/>
      <c r="F100" s="138"/>
      <c r="G100" s="139"/>
      <c r="H100" s="139"/>
    </row>
    <row r="101" spans="3:8" ht="12" customHeight="1">
      <c r="C101" s="137"/>
      <c r="D101" s="137"/>
      <c r="E101" s="137"/>
      <c r="F101" s="138"/>
      <c r="G101" s="139"/>
      <c r="H101" s="139"/>
    </row>
    <row r="102" spans="3:8" ht="12" customHeight="1">
      <c r="C102" s="137"/>
      <c r="D102" s="137"/>
      <c r="E102" s="137"/>
      <c r="F102" s="138"/>
      <c r="G102" s="139"/>
      <c r="H102" s="139"/>
    </row>
    <row r="103" spans="3:8" ht="12" customHeight="1">
      <c r="C103" s="137"/>
      <c r="D103" s="137"/>
      <c r="E103" s="137"/>
      <c r="F103" s="138"/>
      <c r="G103" s="139"/>
      <c r="H103" s="139"/>
    </row>
    <row r="104" spans="3:8" ht="12" customHeight="1">
      <c r="C104" s="137"/>
      <c r="D104" s="137"/>
      <c r="E104" s="137"/>
      <c r="F104" s="138"/>
      <c r="G104" s="139"/>
      <c r="H104" s="139"/>
    </row>
    <row r="105" spans="3:8" ht="12" customHeight="1">
      <c r="C105" s="137"/>
      <c r="D105" s="137"/>
      <c r="E105" s="137"/>
      <c r="F105" s="138"/>
      <c r="G105" s="139"/>
      <c r="H105" s="139"/>
    </row>
    <row r="106" spans="3:8" ht="12" customHeight="1">
      <c r="C106" s="137"/>
      <c r="D106" s="137"/>
      <c r="E106" s="137"/>
      <c r="F106" s="138"/>
      <c r="G106" s="139"/>
      <c r="H106" s="139"/>
    </row>
    <row r="107" spans="3:8" ht="12" customHeight="1">
      <c r="C107" s="137"/>
      <c r="D107" s="137"/>
      <c r="E107" s="137"/>
      <c r="F107" s="138"/>
      <c r="G107" s="139"/>
      <c r="H107" s="139"/>
    </row>
    <row r="108" spans="3:8" ht="12" customHeight="1">
      <c r="C108" s="137"/>
      <c r="D108" s="137"/>
      <c r="E108" s="137"/>
      <c r="F108" s="138"/>
      <c r="G108" s="139"/>
      <c r="H108" s="139"/>
    </row>
    <row r="109" spans="3:8" ht="12" customHeight="1">
      <c r="C109" s="137"/>
      <c r="D109" s="137"/>
      <c r="E109" s="137"/>
      <c r="F109" s="138"/>
      <c r="G109" s="139"/>
      <c r="H109" s="139"/>
    </row>
    <row r="110" spans="3:8" ht="12" customHeight="1">
      <c r="C110" s="137"/>
      <c r="D110" s="137"/>
      <c r="E110" s="137"/>
      <c r="F110" s="138"/>
      <c r="G110" s="139"/>
      <c r="H110" s="139"/>
    </row>
    <row r="111" spans="3:8" ht="12" customHeight="1">
      <c r="C111" s="137"/>
      <c r="D111" s="137"/>
      <c r="E111" s="137"/>
      <c r="F111" s="138"/>
      <c r="G111" s="139"/>
      <c r="H111" s="139"/>
    </row>
    <row r="112" spans="3:8" ht="12" customHeight="1">
      <c r="C112" s="137"/>
      <c r="D112" s="137"/>
      <c r="E112" s="137"/>
      <c r="F112" s="138"/>
      <c r="G112" s="139"/>
      <c r="H112" s="139"/>
    </row>
    <row r="113" spans="3:8" ht="12" customHeight="1">
      <c r="C113" s="137"/>
      <c r="D113" s="137"/>
      <c r="E113" s="137"/>
      <c r="F113" s="138"/>
      <c r="G113" s="139"/>
      <c r="H113" s="139"/>
    </row>
    <row r="114" spans="3:8" ht="12" customHeight="1">
      <c r="C114" s="137"/>
      <c r="D114" s="137"/>
      <c r="E114" s="137"/>
      <c r="F114" s="138"/>
      <c r="G114" s="139"/>
      <c r="H114" s="139"/>
    </row>
    <row r="115" spans="3:8" ht="12" customHeight="1">
      <c r="C115" s="137"/>
      <c r="D115" s="137"/>
      <c r="E115" s="137"/>
      <c r="F115" s="138"/>
      <c r="G115" s="139"/>
      <c r="H115" s="139"/>
    </row>
    <row r="116" spans="3:8" ht="12" customHeight="1">
      <c r="C116" s="137"/>
      <c r="D116" s="137"/>
      <c r="E116" s="137"/>
      <c r="F116" s="138"/>
      <c r="G116" s="139"/>
      <c r="H116" s="139"/>
    </row>
    <row r="117" spans="3:8" ht="12" customHeight="1">
      <c r="C117" s="137"/>
      <c r="D117" s="137"/>
      <c r="E117" s="137"/>
      <c r="F117" s="138"/>
      <c r="G117" s="139"/>
      <c r="H117" s="139"/>
    </row>
    <row r="118" spans="3:8" ht="12" customHeight="1">
      <c r="C118" s="137"/>
      <c r="D118" s="137"/>
      <c r="E118" s="137"/>
      <c r="F118" s="138"/>
      <c r="G118" s="139"/>
      <c r="H118" s="139"/>
    </row>
    <row r="119" spans="3:8" ht="12" customHeight="1">
      <c r="C119" s="137"/>
      <c r="D119" s="137"/>
      <c r="E119" s="137"/>
      <c r="F119" s="138"/>
      <c r="G119" s="139"/>
      <c r="H119" s="139"/>
    </row>
    <row r="120" spans="3:8" ht="12" customHeight="1">
      <c r="C120" s="137"/>
      <c r="D120" s="137"/>
      <c r="E120" s="137"/>
      <c r="F120" s="138"/>
      <c r="G120" s="139"/>
      <c r="H120" s="139"/>
    </row>
    <row r="121" spans="3:8" ht="12" customHeight="1">
      <c r="C121" s="137"/>
      <c r="D121" s="137"/>
      <c r="E121" s="137"/>
      <c r="F121" s="138"/>
      <c r="G121" s="139"/>
      <c r="H121" s="139"/>
    </row>
    <row r="122" spans="3:8" ht="12" customHeight="1">
      <c r="C122" s="137"/>
      <c r="D122" s="137"/>
      <c r="E122" s="137"/>
      <c r="F122" s="138"/>
      <c r="G122" s="139"/>
      <c r="H122" s="139"/>
    </row>
    <row r="123" spans="3:8" ht="12" customHeight="1">
      <c r="C123" s="137"/>
      <c r="D123" s="137"/>
      <c r="E123" s="137"/>
      <c r="F123" s="138"/>
      <c r="G123" s="139"/>
      <c r="H123" s="139"/>
    </row>
    <row r="124" spans="3:8" ht="12" customHeight="1">
      <c r="C124" s="137"/>
      <c r="D124" s="137"/>
      <c r="E124" s="137"/>
      <c r="F124" s="138"/>
      <c r="G124" s="139"/>
      <c r="H124" s="139"/>
    </row>
  </sheetData>
  <mergeCells count="6">
    <mergeCell ref="A14:I14"/>
    <mergeCell ref="A4:I4"/>
    <mergeCell ref="A6:I6"/>
    <mergeCell ref="A8:I8"/>
    <mergeCell ref="A10:I10"/>
    <mergeCell ref="A12:I12"/>
  </mergeCells>
  <phoneticPr fontId="2" type="noConversion"/>
  <pageMargins left="0.74803149606299213" right="0.74803149606299213" top="0.9055118110236221" bottom="0.78740157480314965" header="0.51181102362204722" footer="0.51181102362204722"/>
  <pageSetup paperSize="9" scale="85" fitToHeight="3" orientation="landscape" r:id="rId1"/>
  <headerFooter alignWithMargins="0"/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1"/>
  </sheetPr>
  <dimension ref="A1:L124"/>
  <sheetViews>
    <sheetView view="pageBreakPreview" topLeftCell="A5" zoomScale="85" zoomScaleSheetLayoutView="85" workbookViewId="0">
      <selection activeCell="J13" sqref="J13"/>
    </sheetView>
  </sheetViews>
  <sheetFormatPr defaultRowHeight="12" customHeight="1"/>
  <cols>
    <col min="1" max="1" width="14.6640625" style="136" customWidth="1"/>
    <col min="2" max="2" width="5.33203125" style="132" customWidth="1"/>
    <col min="3" max="3" width="17.88671875" style="132" customWidth="1"/>
    <col min="4" max="4" width="35.88671875" style="132" customWidth="1"/>
    <col min="5" max="5" width="11.6640625" style="132" customWidth="1"/>
    <col min="6" max="6" width="5.44140625" style="133" customWidth="1"/>
    <col min="7" max="7" width="10.5546875" style="140" customWidth="1"/>
    <col min="8" max="8" width="10.6640625" style="140" customWidth="1"/>
    <col min="9" max="9" width="10.5546875" style="134" customWidth="1"/>
    <col min="10" max="10" width="8.5546875" style="135" customWidth="1"/>
    <col min="11" max="16384" width="8.88671875" style="127"/>
  </cols>
  <sheetData>
    <row r="1" spans="1:12" s="124" customFormat="1" ht="30" customHeight="1" thickBot="1">
      <c r="A1" s="320" t="s">
        <v>78</v>
      </c>
      <c r="B1" s="321"/>
      <c r="C1" s="320" t="str">
        <f>기술투자!B8</f>
        <v>☆☆엔지니어링</v>
      </c>
      <c r="D1" s="320"/>
      <c r="E1" s="320"/>
      <c r="F1" s="120"/>
      <c r="G1" s="539" t="s">
        <v>264</v>
      </c>
      <c r="H1" s="540">
        <v>42213</v>
      </c>
      <c r="I1" s="120"/>
      <c r="J1" s="120"/>
      <c r="K1" s="123"/>
      <c r="L1" s="123"/>
    </row>
    <row r="2" spans="1:12" s="125" customFormat="1" ht="35.1" customHeight="1">
      <c r="A2" s="602" t="s">
        <v>207</v>
      </c>
      <c r="B2" s="603" t="s">
        <v>208</v>
      </c>
      <c r="C2" s="603" t="s">
        <v>209</v>
      </c>
      <c r="D2" s="603" t="s">
        <v>232</v>
      </c>
      <c r="E2" s="603" t="s">
        <v>212</v>
      </c>
      <c r="F2" s="603" t="s">
        <v>213</v>
      </c>
      <c r="G2" s="603" t="s">
        <v>215</v>
      </c>
      <c r="H2" s="603" t="s">
        <v>210</v>
      </c>
      <c r="I2" s="603" t="s">
        <v>211</v>
      </c>
      <c r="J2" s="604" t="s">
        <v>174</v>
      </c>
    </row>
    <row r="3" spans="1:12" s="126" customFormat="1" ht="78.75" customHeight="1">
      <c r="A3" s="581" t="s">
        <v>260</v>
      </c>
      <c r="B3" s="256">
        <v>1</v>
      </c>
      <c r="C3" s="516" t="s">
        <v>421</v>
      </c>
      <c r="D3" s="525" t="s">
        <v>422</v>
      </c>
      <c r="E3" s="272" t="s">
        <v>679</v>
      </c>
      <c r="F3" s="277">
        <v>1</v>
      </c>
      <c r="G3" s="274">
        <v>39913</v>
      </c>
      <c r="H3" s="275">
        <f>$H$1-G3</f>
        <v>2300</v>
      </c>
      <c r="I3" s="274">
        <v>43564</v>
      </c>
      <c r="J3" s="543">
        <f>2/F3</f>
        <v>2</v>
      </c>
    </row>
    <row r="4" spans="1:12" s="424" customFormat="1" ht="35.1" customHeight="1">
      <c r="A4" s="1141" t="s">
        <v>214</v>
      </c>
      <c r="B4" s="1142"/>
      <c r="C4" s="1142"/>
      <c r="D4" s="1142"/>
      <c r="E4" s="1142"/>
      <c r="F4" s="1142"/>
      <c r="G4" s="1142"/>
      <c r="H4" s="1142"/>
      <c r="I4" s="1142"/>
      <c r="J4" s="544">
        <f>SUM(J3:J3)</f>
        <v>2</v>
      </c>
    </row>
    <row r="5" spans="1:12" ht="168" customHeight="1">
      <c r="A5" s="727" t="s">
        <v>423</v>
      </c>
      <c r="B5" s="256">
        <v>1</v>
      </c>
      <c r="C5" s="525" t="s">
        <v>679</v>
      </c>
      <c r="D5" s="525" t="s">
        <v>679</v>
      </c>
      <c r="E5" s="272" t="s">
        <v>679</v>
      </c>
      <c r="F5" s="277">
        <v>1</v>
      </c>
      <c r="G5" s="274">
        <v>39141</v>
      </c>
      <c r="H5" s="275">
        <f t="shared" ref="H5" si="0">$H$1-G5</f>
        <v>3072</v>
      </c>
      <c r="I5" s="274">
        <v>46446</v>
      </c>
      <c r="J5" s="543">
        <f>1/F5</f>
        <v>1</v>
      </c>
    </row>
    <row r="6" spans="1:12" s="425" customFormat="1" ht="35.1" customHeight="1">
      <c r="A6" s="1141" t="s">
        <v>217</v>
      </c>
      <c r="B6" s="1142"/>
      <c r="C6" s="1142"/>
      <c r="D6" s="1142"/>
      <c r="E6" s="1142"/>
      <c r="F6" s="1142"/>
      <c r="G6" s="1142"/>
      <c r="H6" s="1142"/>
      <c r="I6" s="1142"/>
      <c r="J6" s="544">
        <f>SUM(J5)</f>
        <v>1</v>
      </c>
    </row>
    <row r="7" spans="1:12" ht="168" customHeight="1">
      <c r="A7" s="581" t="s">
        <v>423</v>
      </c>
      <c r="B7" s="256">
        <v>1</v>
      </c>
      <c r="C7" s="525" t="s">
        <v>679</v>
      </c>
      <c r="D7" s="525" t="s">
        <v>679</v>
      </c>
      <c r="E7" s="272" t="s">
        <v>679</v>
      </c>
      <c r="F7" s="277">
        <v>1</v>
      </c>
      <c r="G7" s="274">
        <v>39141</v>
      </c>
      <c r="H7" s="275">
        <f t="shared" ref="H7" si="1">$H$1-G7</f>
        <v>3072</v>
      </c>
      <c r="I7" s="274">
        <v>46446</v>
      </c>
      <c r="J7" s="543">
        <f>1/F7</f>
        <v>1</v>
      </c>
    </row>
    <row r="8" spans="1:12" s="425" customFormat="1" ht="35.1" customHeight="1">
      <c r="A8" s="1141" t="s">
        <v>218</v>
      </c>
      <c r="B8" s="1142"/>
      <c r="C8" s="1142"/>
      <c r="D8" s="1142"/>
      <c r="E8" s="1142"/>
      <c r="F8" s="1142"/>
      <c r="G8" s="1142"/>
      <c r="H8" s="1142"/>
      <c r="I8" s="1142"/>
      <c r="J8" s="544">
        <f>SUM(J7:J7)</f>
        <v>1</v>
      </c>
    </row>
    <row r="9" spans="1:12" s="126" customFormat="1" ht="35.1" customHeight="1">
      <c r="A9" s="581" t="s">
        <v>257</v>
      </c>
      <c r="B9" s="256"/>
      <c r="C9" s="256"/>
      <c r="D9" s="256"/>
      <c r="E9" s="272"/>
      <c r="F9" s="277"/>
      <c r="G9" s="274"/>
      <c r="H9" s="275"/>
      <c r="I9" s="276"/>
      <c r="J9" s="543"/>
    </row>
    <row r="10" spans="1:12" s="424" customFormat="1" ht="35.1" customHeight="1">
      <c r="A10" s="1141" t="s">
        <v>261</v>
      </c>
      <c r="B10" s="1142"/>
      <c r="C10" s="1142"/>
      <c r="D10" s="1142"/>
      <c r="E10" s="1142"/>
      <c r="F10" s="1142"/>
      <c r="G10" s="1142"/>
      <c r="H10" s="1142"/>
      <c r="I10" s="1142"/>
      <c r="J10" s="544">
        <f>SUM(J9:J9)</f>
        <v>0</v>
      </c>
    </row>
    <row r="11" spans="1:12" s="126" customFormat="1" ht="35.1" customHeight="1">
      <c r="A11" s="581" t="s">
        <v>216</v>
      </c>
      <c r="B11" s="256"/>
      <c r="C11" s="256"/>
      <c r="D11" s="256"/>
      <c r="E11" s="272"/>
      <c r="F11" s="277"/>
      <c r="G11" s="274"/>
      <c r="H11" s="275"/>
      <c r="I11" s="276"/>
      <c r="J11" s="543"/>
    </row>
    <row r="12" spans="1:12" s="424" customFormat="1" ht="35.1" customHeight="1">
      <c r="A12" s="1141" t="s">
        <v>262</v>
      </c>
      <c r="B12" s="1142"/>
      <c r="C12" s="1142"/>
      <c r="D12" s="1142"/>
      <c r="E12" s="1142"/>
      <c r="F12" s="1142"/>
      <c r="G12" s="1142"/>
      <c r="H12" s="1142"/>
      <c r="I12" s="1142"/>
      <c r="J12" s="544">
        <f>SUM(J11:J11)</f>
        <v>0</v>
      </c>
    </row>
    <row r="13" spans="1:12" s="126" customFormat="1" ht="35.1" customHeight="1">
      <c r="A13" s="581" t="s">
        <v>216</v>
      </c>
      <c r="B13" s="256"/>
      <c r="C13" s="256"/>
      <c r="D13" s="256"/>
      <c r="E13" s="272"/>
      <c r="F13" s="277"/>
      <c r="G13" s="274"/>
      <c r="H13" s="275"/>
      <c r="I13" s="276"/>
      <c r="J13" s="543"/>
    </row>
    <row r="14" spans="1:12" s="424" customFormat="1" ht="35.1" customHeight="1" thickBot="1">
      <c r="A14" s="1139" t="s">
        <v>263</v>
      </c>
      <c r="B14" s="1140"/>
      <c r="C14" s="1140"/>
      <c r="D14" s="1140"/>
      <c r="E14" s="1140"/>
      <c r="F14" s="1140"/>
      <c r="G14" s="1140"/>
      <c r="H14" s="1140"/>
      <c r="I14" s="1140"/>
      <c r="J14" s="545">
        <f>SUM(J13:J13)</f>
        <v>0</v>
      </c>
    </row>
    <row r="15" spans="1:12" s="195" customFormat="1" ht="24.95" customHeight="1">
      <c r="A15" s="247" t="s">
        <v>265</v>
      </c>
      <c r="B15" s="159" t="s">
        <v>266</v>
      </c>
      <c r="C15" s="270"/>
      <c r="D15" s="270"/>
      <c r="E15" s="270"/>
      <c r="F15" s="271"/>
      <c r="G15" s="271"/>
      <c r="H15" s="271"/>
      <c r="I15" s="278"/>
      <c r="J15" s="197"/>
    </row>
    <row r="16" spans="1:12" s="195" customFormat="1" ht="24.95" customHeight="1">
      <c r="A16" s="247" t="s">
        <v>267</v>
      </c>
      <c r="B16" s="159" t="s">
        <v>268</v>
      </c>
      <c r="C16" s="270"/>
      <c r="D16" s="270"/>
      <c r="E16" s="270"/>
      <c r="F16" s="271"/>
      <c r="G16" s="271"/>
      <c r="H16" s="271"/>
      <c r="I16" s="278"/>
      <c r="J16" s="197"/>
    </row>
    <row r="17" spans="1:10" s="195" customFormat="1" ht="24.95" customHeight="1">
      <c r="A17" s="247" t="s">
        <v>269</v>
      </c>
      <c r="B17" s="159" t="s">
        <v>270</v>
      </c>
      <c r="C17" s="270"/>
      <c r="D17" s="270"/>
      <c r="E17" s="270"/>
      <c r="F17" s="271"/>
      <c r="G17" s="271"/>
      <c r="H17" s="271"/>
      <c r="I17" s="278"/>
      <c r="J17" s="197"/>
    </row>
    <row r="18" spans="1:10" ht="15" customHeight="1">
      <c r="A18" s="131"/>
      <c r="G18" s="133"/>
      <c r="H18" s="133"/>
    </row>
    <row r="19" spans="1:10" ht="15" customHeight="1">
      <c r="A19" s="131"/>
      <c r="G19" s="133"/>
      <c r="H19" s="133"/>
    </row>
    <row r="20" spans="1:10" ht="15" customHeight="1">
      <c r="C20" s="137"/>
      <c r="D20" s="137"/>
      <c r="E20" s="137"/>
      <c r="F20" s="138"/>
      <c r="G20" s="139"/>
      <c r="H20" s="139"/>
    </row>
    <row r="21" spans="1:10" ht="15" customHeight="1">
      <c r="C21" s="137"/>
      <c r="D21" s="137"/>
      <c r="E21" s="137"/>
      <c r="F21" s="138"/>
      <c r="G21" s="139"/>
      <c r="H21" s="139"/>
    </row>
    <row r="22" spans="1:10" ht="15" customHeight="1">
      <c r="C22" s="137"/>
      <c r="D22" s="137"/>
      <c r="E22" s="137"/>
      <c r="F22" s="138"/>
      <c r="G22" s="139"/>
      <c r="H22" s="139"/>
    </row>
    <row r="23" spans="1:10" ht="15" customHeight="1">
      <c r="C23" s="137"/>
      <c r="D23" s="137"/>
      <c r="E23" s="137"/>
      <c r="F23" s="138"/>
      <c r="G23" s="139"/>
      <c r="H23" s="139"/>
    </row>
    <row r="24" spans="1:10" ht="15" customHeight="1">
      <c r="C24" s="137"/>
      <c r="D24" s="137"/>
      <c r="E24" s="137"/>
      <c r="F24" s="138"/>
      <c r="G24" s="139"/>
      <c r="H24" s="139"/>
    </row>
    <row r="25" spans="1:10" ht="12" customHeight="1">
      <c r="C25" s="137"/>
      <c r="D25" s="137"/>
      <c r="E25" s="137"/>
      <c r="F25" s="138"/>
      <c r="G25" s="139"/>
      <c r="H25" s="139"/>
    </row>
    <row r="26" spans="1:10" ht="12" customHeight="1">
      <c r="C26" s="137"/>
      <c r="D26" s="137"/>
      <c r="E26" s="137"/>
      <c r="F26" s="138"/>
      <c r="G26" s="139"/>
      <c r="H26" s="139"/>
    </row>
    <row r="27" spans="1:10" ht="12" customHeight="1">
      <c r="C27" s="137"/>
      <c r="D27" s="137"/>
      <c r="E27" s="137"/>
      <c r="F27" s="138"/>
      <c r="G27" s="139"/>
      <c r="H27" s="139"/>
    </row>
    <row r="28" spans="1:10" ht="12" customHeight="1">
      <c r="C28" s="137"/>
      <c r="D28" s="137"/>
      <c r="E28" s="137"/>
      <c r="F28" s="138"/>
      <c r="G28" s="139"/>
      <c r="H28" s="139"/>
    </row>
    <row r="29" spans="1:10" ht="12" customHeight="1">
      <c r="C29" s="137"/>
      <c r="D29" s="137"/>
      <c r="E29" s="137"/>
      <c r="F29" s="138"/>
      <c r="G29" s="139"/>
      <c r="H29" s="139"/>
    </row>
    <row r="30" spans="1:10" ht="12" customHeight="1">
      <c r="C30" s="137"/>
      <c r="D30" s="137"/>
      <c r="E30" s="137"/>
      <c r="F30" s="138"/>
      <c r="G30" s="139"/>
      <c r="H30" s="139"/>
    </row>
    <row r="31" spans="1:10" ht="12" customHeight="1">
      <c r="C31" s="137"/>
      <c r="D31" s="137"/>
      <c r="E31" s="137"/>
      <c r="F31" s="138"/>
      <c r="G31" s="139"/>
      <c r="H31" s="139"/>
    </row>
    <row r="32" spans="1:10" ht="12" customHeight="1">
      <c r="C32" s="137"/>
      <c r="D32" s="137"/>
      <c r="E32" s="137"/>
      <c r="F32" s="138"/>
      <c r="G32" s="139"/>
      <c r="H32" s="139"/>
    </row>
    <row r="33" spans="3:8" ht="12" customHeight="1">
      <c r="C33" s="137"/>
      <c r="D33" s="137"/>
      <c r="E33" s="137"/>
      <c r="F33" s="138"/>
      <c r="G33" s="139"/>
      <c r="H33" s="139"/>
    </row>
    <row r="34" spans="3:8" ht="12" customHeight="1">
      <c r="C34" s="137"/>
      <c r="D34" s="137"/>
      <c r="E34" s="137"/>
      <c r="F34" s="138"/>
      <c r="G34" s="139"/>
      <c r="H34" s="139"/>
    </row>
    <row r="35" spans="3:8" ht="12" customHeight="1">
      <c r="C35" s="137"/>
      <c r="D35" s="137"/>
      <c r="E35" s="137"/>
      <c r="F35" s="138"/>
      <c r="G35" s="139"/>
      <c r="H35" s="139"/>
    </row>
    <row r="36" spans="3:8" ht="12" customHeight="1">
      <c r="C36" s="137"/>
      <c r="D36" s="137"/>
      <c r="E36" s="137"/>
      <c r="F36" s="138"/>
      <c r="G36" s="139"/>
      <c r="H36" s="139"/>
    </row>
    <row r="37" spans="3:8" ht="12" customHeight="1">
      <c r="C37" s="137"/>
      <c r="D37" s="137"/>
      <c r="E37" s="137"/>
      <c r="F37" s="138"/>
      <c r="G37" s="139"/>
      <c r="H37" s="139"/>
    </row>
    <row r="38" spans="3:8" ht="12" customHeight="1">
      <c r="C38" s="137"/>
      <c r="D38" s="137"/>
      <c r="E38" s="137"/>
      <c r="F38" s="138"/>
      <c r="G38" s="139"/>
      <c r="H38" s="139"/>
    </row>
    <row r="39" spans="3:8" ht="12" customHeight="1">
      <c r="C39" s="137"/>
      <c r="D39" s="137"/>
      <c r="E39" s="137"/>
      <c r="F39" s="138"/>
      <c r="G39" s="139"/>
      <c r="H39" s="139"/>
    </row>
    <row r="40" spans="3:8" ht="12" customHeight="1">
      <c r="C40" s="137"/>
      <c r="D40" s="137"/>
      <c r="E40" s="137"/>
      <c r="F40" s="138"/>
      <c r="G40" s="139"/>
      <c r="H40" s="139"/>
    </row>
    <row r="41" spans="3:8" ht="12" customHeight="1">
      <c r="C41" s="137"/>
      <c r="D41" s="137"/>
      <c r="E41" s="137"/>
      <c r="F41" s="138"/>
      <c r="G41" s="139"/>
      <c r="H41" s="139"/>
    </row>
    <row r="42" spans="3:8" ht="12" customHeight="1">
      <c r="C42" s="137"/>
      <c r="D42" s="137"/>
      <c r="E42" s="137"/>
      <c r="F42" s="138"/>
      <c r="G42" s="139"/>
      <c r="H42" s="139"/>
    </row>
    <row r="43" spans="3:8" ht="12" customHeight="1">
      <c r="C43" s="137"/>
      <c r="D43" s="137"/>
      <c r="E43" s="137"/>
      <c r="F43" s="138"/>
      <c r="G43" s="139"/>
      <c r="H43" s="139"/>
    </row>
    <row r="44" spans="3:8" ht="12" customHeight="1">
      <c r="C44" s="137"/>
      <c r="D44" s="137"/>
      <c r="E44" s="137"/>
      <c r="F44" s="138"/>
      <c r="G44" s="139"/>
      <c r="H44" s="139"/>
    </row>
    <row r="45" spans="3:8" ht="12" customHeight="1">
      <c r="C45" s="137"/>
      <c r="D45" s="137"/>
      <c r="E45" s="137"/>
      <c r="F45" s="138"/>
      <c r="G45" s="139"/>
      <c r="H45" s="139"/>
    </row>
    <row r="46" spans="3:8" ht="12" customHeight="1">
      <c r="C46" s="137"/>
      <c r="D46" s="137"/>
      <c r="E46" s="137"/>
      <c r="F46" s="138"/>
      <c r="G46" s="139"/>
      <c r="H46" s="139"/>
    </row>
    <row r="47" spans="3:8" ht="12" customHeight="1">
      <c r="C47" s="137"/>
      <c r="D47" s="137"/>
      <c r="E47" s="137"/>
      <c r="F47" s="138"/>
      <c r="G47" s="139"/>
      <c r="H47" s="139"/>
    </row>
    <row r="48" spans="3:8" ht="12" customHeight="1">
      <c r="C48" s="137"/>
      <c r="D48" s="137"/>
      <c r="E48" s="137"/>
      <c r="F48" s="138"/>
      <c r="G48" s="139"/>
      <c r="H48" s="139"/>
    </row>
    <row r="49" spans="3:8" ht="12" customHeight="1">
      <c r="C49" s="137"/>
      <c r="D49" s="137"/>
      <c r="E49" s="137"/>
      <c r="F49" s="138"/>
      <c r="G49" s="139"/>
      <c r="H49" s="139"/>
    </row>
    <row r="50" spans="3:8" ht="12" customHeight="1">
      <c r="C50" s="137"/>
      <c r="D50" s="137"/>
      <c r="E50" s="137"/>
      <c r="F50" s="138"/>
      <c r="G50" s="139"/>
      <c r="H50" s="139"/>
    </row>
    <row r="51" spans="3:8" ht="12" customHeight="1">
      <c r="C51" s="137"/>
      <c r="D51" s="137"/>
      <c r="E51" s="137"/>
      <c r="F51" s="138"/>
      <c r="G51" s="139"/>
      <c r="H51" s="139"/>
    </row>
    <row r="52" spans="3:8" ht="12" customHeight="1">
      <c r="C52" s="137"/>
      <c r="D52" s="137"/>
      <c r="E52" s="137"/>
      <c r="F52" s="138"/>
      <c r="G52" s="139"/>
      <c r="H52" s="139"/>
    </row>
    <row r="53" spans="3:8" ht="12" customHeight="1">
      <c r="C53" s="137"/>
      <c r="D53" s="137"/>
      <c r="E53" s="137"/>
      <c r="F53" s="138"/>
      <c r="G53" s="139"/>
      <c r="H53" s="139"/>
    </row>
    <row r="54" spans="3:8" ht="12" customHeight="1">
      <c r="C54" s="137"/>
      <c r="D54" s="137"/>
      <c r="E54" s="137"/>
      <c r="F54" s="138"/>
      <c r="G54" s="139"/>
      <c r="H54" s="139"/>
    </row>
    <row r="55" spans="3:8" ht="12" customHeight="1">
      <c r="C55" s="137"/>
      <c r="D55" s="137"/>
      <c r="E55" s="137"/>
      <c r="F55" s="138"/>
      <c r="G55" s="139"/>
      <c r="H55" s="139"/>
    </row>
    <row r="56" spans="3:8" ht="12" customHeight="1">
      <c r="C56" s="137"/>
      <c r="D56" s="137"/>
      <c r="E56" s="137"/>
      <c r="F56" s="138"/>
      <c r="G56" s="139"/>
      <c r="H56" s="139"/>
    </row>
    <row r="57" spans="3:8" ht="12" customHeight="1">
      <c r="C57" s="137"/>
      <c r="D57" s="137"/>
      <c r="E57" s="137"/>
      <c r="F57" s="138"/>
      <c r="G57" s="139"/>
      <c r="H57" s="139"/>
    </row>
    <row r="58" spans="3:8" ht="12" customHeight="1">
      <c r="C58" s="137"/>
      <c r="D58" s="137"/>
      <c r="E58" s="137"/>
      <c r="F58" s="138"/>
      <c r="G58" s="139"/>
      <c r="H58" s="139"/>
    </row>
    <row r="59" spans="3:8" ht="12" customHeight="1">
      <c r="C59" s="137"/>
      <c r="D59" s="137"/>
      <c r="E59" s="137"/>
      <c r="F59" s="138"/>
      <c r="G59" s="139"/>
      <c r="H59" s="139"/>
    </row>
    <row r="60" spans="3:8" ht="12" customHeight="1">
      <c r="C60" s="137"/>
      <c r="D60" s="137"/>
      <c r="E60" s="137"/>
      <c r="F60" s="138"/>
      <c r="G60" s="139"/>
      <c r="H60" s="139"/>
    </row>
    <row r="61" spans="3:8" ht="12" customHeight="1">
      <c r="C61" s="137"/>
      <c r="D61" s="137"/>
      <c r="E61" s="137"/>
      <c r="F61" s="138"/>
      <c r="G61" s="139"/>
      <c r="H61" s="139"/>
    </row>
    <row r="62" spans="3:8" ht="12" customHeight="1">
      <c r="C62" s="137"/>
      <c r="D62" s="137"/>
      <c r="E62" s="137"/>
      <c r="F62" s="138"/>
      <c r="G62" s="139"/>
      <c r="H62" s="139"/>
    </row>
    <row r="63" spans="3:8" ht="12" customHeight="1">
      <c r="C63" s="137"/>
      <c r="D63" s="137"/>
      <c r="E63" s="137"/>
      <c r="F63" s="138"/>
      <c r="G63" s="139"/>
      <c r="H63" s="139"/>
    </row>
    <row r="64" spans="3:8" ht="12" customHeight="1">
      <c r="C64" s="137"/>
      <c r="D64" s="137"/>
      <c r="E64" s="137"/>
      <c r="F64" s="138"/>
      <c r="G64" s="139"/>
      <c r="H64" s="139"/>
    </row>
    <row r="65" spans="3:8" ht="12" customHeight="1">
      <c r="C65" s="137"/>
      <c r="D65" s="137"/>
      <c r="E65" s="137"/>
      <c r="F65" s="138"/>
      <c r="G65" s="139"/>
      <c r="H65" s="139"/>
    </row>
    <row r="66" spans="3:8" ht="12" customHeight="1">
      <c r="C66" s="137"/>
      <c r="D66" s="137"/>
      <c r="E66" s="137"/>
      <c r="F66" s="138"/>
      <c r="G66" s="139"/>
      <c r="H66" s="139"/>
    </row>
    <row r="67" spans="3:8" ht="12" customHeight="1">
      <c r="C67" s="137"/>
      <c r="D67" s="137"/>
      <c r="E67" s="137"/>
      <c r="F67" s="138"/>
      <c r="G67" s="139"/>
      <c r="H67" s="139"/>
    </row>
    <row r="68" spans="3:8" ht="12" customHeight="1">
      <c r="C68" s="137"/>
      <c r="D68" s="137"/>
      <c r="E68" s="137"/>
      <c r="F68" s="138"/>
      <c r="G68" s="139"/>
      <c r="H68" s="139"/>
    </row>
    <row r="69" spans="3:8" ht="12" customHeight="1">
      <c r="C69" s="137"/>
      <c r="D69" s="137"/>
      <c r="E69" s="137"/>
      <c r="F69" s="138"/>
      <c r="G69" s="139"/>
      <c r="H69" s="139"/>
    </row>
    <row r="70" spans="3:8" ht="12" customHeight="1">
      <c r="C70" s="137"/>
      <c r="D70" s="137"/>
      <c r="E70" s="137"/>
      <c r="F70" s="138"/>
      <c r="G70" s="139"/>
      <c r="H70" s="139"/>
    </row>
    <row r="71" spans="3:8" ht="12" customHeight="1">
      <c r="C71" s="137"/>
      <c r="D71" s="137"/>
      <c r="E71" s="137"/>
      <c r="F71" s="138"/>
      <c r="G71" s="139"/>
      <c r="H71" s="139"/>
    </row>
    <row r="72" spans="3:8" ht="12" customHeight="1">
      <c r="C72" s="137"/>
      <c r="D72" s="137"/>
      <c r="E72" s="137"/>
      <c r="F72" s="138"/>
      <c r="G72" s="139"/>
      <c r="H72" s="139"/>
    </row>
    <row r="73" spans="3:8" ht="12" customHeight="1">
      <c r="C73" s="137"/>
      <c r="D73" s="137"/>
      <c r="E73" s="137"/>
      <c r="F73" s="138"/>
      <c r="G73" s="139"/>
      <c r="H73" s="139"/>
    </row>
    <row r="74" spans="3:8" ht="12" customHeight="1">
      <c r="C74" s="137"/>
      <c r="D74" s="137"/>
      <c r="E74" s="137"/>
      <c r="F74" s="138"/>
      <c r="G74" s="139"/>
      <c r="H74" s="139"/>
    </row>
    <row r="75" spans="3:8" ht="12" customHeight="1">
      <c r="C75" s="137"/>
      <c r="D75" s="137"/>
      <c r="E75" s="137"/>
      <c r="F75" s="138"/>
      <c r="G75" s="139"/>
      <c r="H75" s="139"/>
    </row>
    <row r="76" spans="3:8" ht="12" customHeight="1">
      <c r="C76" s="137"/>
      <c r="D76" s="137"/>
      <c r="E76" s="137"/>
      <c r="F76" s="138"/>
      <c r="G76" s="139"/>
      <c r="H76" s="139"/>
    </row>
    <row r="77" spans="3:8" ht="12" customHeight="1">
      <c r="C77" s="137"/>
      <c r="D77" s="137"/>
      <c r="E77" s="137"/>
      <c r="F77" s="138"/>
      <c r="G77" s="139"/>
      <c r="H77" s="139"/>
    </row>
    <row r="78" spans="3:8" ht="12" customHeight="1">
      <c r="C78" s="137"/>
      <c r="D78" s="137"/>
      <c r="E78" s="137"/>
      <c r="F78" s="138"/>
      <c r="G78" s="139"/>
      <c r="H78" s="139"/>
    </row>
    <row r="79" spans="3:8" ht="12" customHeight="1">
      <c r="C79" s="137"/>
      <c r="D79" s="137"/>
      <c r="E79" s="137"/>
      <c r="F79" s="138"/>
      <c r="G79" s="139"/>
      <c r="H79" s="139"/>
    </row>
    <row r="80" spans="3:8" ht="12" customHeight="1">
      <c r="C80" s="137"/>
      <c r="D80" s="137"/>
      <c r="E80" s="137"/>
      <c r="F80" s="138"/>
      <c r="G80" s="139"/>
      <c r="H80" s="139"/>
    </row>
    <row r="81" spans="3:8" ht="12" customHeight="1">
      <c r="C81" s="137"/>
      <c r="D81" s="137"/>
      <c r="E81" s="137"/>
      <c r="F81" s="138"/>
      <c r="G81" s="139"/>
      <c r="H81" s="139"/>
    </row>
    <row r="82" spans="3:8" ht="12" customHeight="1">
      <c r="C82" s="137"/>
      <c r="D82" s="137"/>
      <c r="E82" s="137"/>
      <c r="F82" s="138"/>
      <c r="G82" s="139"/>
      <c r="H82" s="139"/>
    </row>
    <row r="83" spans="3:8" ht="12" customHeight="1">
      <c r="C83" s="137"/>
      <c r="D83" s="137"/>
      <c r="E83" s="137"/>
      <c r="F83" s="138"/>
      <c r="G83" s="139"/>
      <c r="H83" s="139"/>
    </row>
    <row r="84" spans="3:8" ht="12" customHeight="1">
      <c r="C84" s="137"/>
      <c r="D84" s="137"/>
      <c r="E84" s="137"/>
      <c r="F84" s="138"/>
      <c r="G84" s="139"/>
      <c r="H84" s="139"/>
    </row>
    <row r="85" spans="3:8" ht="12" customHeight="1">
      <c r="C85" s="137"/>
      <c r="D85" s="137"/>
      <c r="E85" s="137"/>
      <c r="F85" s="138"/>
      <c r="G85" s="139"/>
      <c r="H85" s="139"/>
    </row>
    <row r="86" spans="3:8" ht="12" customHeight="1">
      <c r="C86" s="137"/>
      <c r="D86" s="137"/>
      <c r="E86" s="137"/>
      <c r="F86" s="138"/>
      <c r="G86" s="139"/>
      <c r="H86" s="139"/>
    </row>
    <row r="87" spans="3:8" ht="12" customHeight="1">
      <c r="C87" s="137"/>
      <c r="D87" s="137"/>
      <c r="E87" s="137"/>
      <c r="F87" s="138"/>
      <c r="G87" s="139"/>
      <c r="H87" s="139"/>
    </row>
    <row r="88" spans="3:8" ht="12" customHeight="1">
      <c r="C88" s="137"/>
      <c r="D88" s="137"/>
      <c r="E88" s="137"/>
      <c r="F88" s="138"/>
      <c r="G88" s="139"/>
      <c r="H88" s="139"/>
    </row>
    <row r="89" spans="3:8" ht="12" customHeight="1">
      <c r="C89" s="137"/>
      <c r="D89" s="137"/>
      <c r="E89" s="137"/>
      <c r="F89" s="138"/>
      <c r="G89" s="139"/>
      <c r="H89" s="139"/>
    </row>
    <row r="90" spans="3:8" ht="12" customHeight="1">
      <c r="C90" s="137"/>
      <c r="D90" s="137"/>
      <c r="E90" s="137"/>
      <c r="F90" s="138"/>
      <c r="G90" s="139"/>
      <c r="H90" s="139"/>
    </row>
    <row r="91" spans="3:8" ht="12" customHeight="1">
      <c r="C91" s="137"/>
      <c r="D91" s="137"/>
      <c r="E91" s="137"/>
      <c r="F91" s="138"/>
      <c r="G91" s="139"/>
      <c r="H91" s="139"/>
    </row>
    <row r="92" spans="3:8" ht="12" customHeight="1">
      <c r="C92" s="137"/>
      <c r="D92" s="137"/>
      <c r="E92" s="137"/>
      <c r="F92" s="138"/>
      <c r="G92" s="139"/>
      <c r="H92" s="139"/>
    </row>
    <row r="93" spans="3:8" ht="12" customHeight="1">
      <c r="C93" s="137"/>
      <c r="D93" s="137"/>
      <c r="E93" s="137"/>
      <c r="F93" s="138"/>
      <c r="G93" s="139"/>
      <c r="H93" s="139"/>
    </row>
    <row r="94" spans="3:8" ht="12" customHeight="1">
      <c r="C94" s="137"/>
      <c r="D94" s="137"/>
      <c r="E94" s="137"/>
      <c r="F94" s="138"/>
      <c r="G94" s="139"/>
      <c r="H94" s="139"/>
    </row>
    <row r="95" spans="3:8" ht="12" customHeight="1">
      <c r="C95" s="137"/>
      <c r="D95" s="137"/>
      <c r="E95" s="137"/>
      <c r="F95" s="138"/>
      <c r="G95" s="139"/>
      <c r="H95" s="139"/>
    </row>
    <row r="96" spans="3:8" ht="12" customHeight="1">
      <c r="C96" s="137"/>
      <c r="D96" s="137"/>
      <c r="E96" s="137"/>
      <c r="F96" s="138"/>
      <c r="G96" s="139"/>
      <c r="H96" s="139"/>
    </row>
    <row r="97" spans="3:8" ht="12" customHeight="1">
      <c r="C97" s="137"/>
      <c r="D97" s="137"/>
      <c r="E97" s="137"/>
      <c r="F97" s="138"/>
      <c r="G97" s="139"/>
      <c r="H97" s="139"/>
    </row>
    <row r="98" spans="3:8" ht="12" customHeight="1">
      <c r="C98" s="137"/>
      <c r="D98" s="137"/>
      <c r="E98" s="137"/>
      <c r="F98" s="138"/>
      <c r="G98" s="139"/>
      <c r="H98" s="139"/>
    </row>
    <row r="99" spans="3:8" ht="12" customHeight="1">
      <c r="C99" s="137"/>
      <c r="D99" s="137"/>
      <c r="E99" s="137"/>
      <c r="F99" s="138"/>
      <c r="G99" s="139"/>
      <c r="H99" s="139"/>
    </row>
    <row r="100" spans="3:8" ht="12" customHeight="1">
      <c r="C100" s="137"/>
      <c r="D100" s="137"/>
      <c r="E100" s="137"/>
      <c r="F100" s="138"/>
      <c r="G100" s="139"/>
      <c r="H100" s="139"/>
    </row>
    <row r="101" spans="3:8" ht="12" customHeight="1">
      <c r="C101" s="137"/>
      <c r="D101" s="137"/>
      <c r="E101" s="137"/>
      <c r="F101" s="138"/>
      <c r="G101" s="139"/>
      <c r="H101" s="139"/>
    </row>
    <row r="102" spans="3:8" ht="12" customHeight="1">
      <c r="C102" s="137"/>
      <c r="D102" s="137"/>
      <c r="E102" s="137"/>
      <c r="F102" s="138"/>
      <c r="G102" s="139"/>
      <c r="H102" s="139"/>
    </row>
    <row r="103" spans="3:8" ht="12" customHeight="1">
      <c r="C103" s="137"/>
      <c r="D103" s="137"/>
      <c r="E103" s="137"/>
      <c r="F103" s="138"/>
      <c r="G103" s="139"/>
      <c r="H103" s="139"/>
    </row>
    <row r="104" spans="3:8" ht="12" customHeight="1">
      <c r="C104" s="137"/>
      <c r="D104" s="137"/>
      <c r="E104" s="137"/>
      <c r="F104" s="138"/>
      <c r="G104" s="139"/>
      <c r="H104" s="139"/>
    </row>
    <row r="105" spans="3:8" ht="12" customHeight="1">
      <c r="C105" s="137"/>
      <c r="D105" s="137"/>
      <c r="E105" s="137"/>
      <c r="F105" s="138"/>
      <c r="G105" s="139"/>
      <c r="H105" s="139"/>
    </row>
    <row r="106" spans="3:8" ht="12" customHeight="1">
      <c r="C106" s="137"/>
      <c r="D106" s="137"/>
      <c r="E106" s="137"/>
      <c r="F106" s="138"/>
      <c r="G106" s="139"/>
      <c r="H106" s="139"/>
    </row>
    <row r="107" spans="3:8" ht="12" customHeight="1">
      <c r="C107" s="137"/>
      <c r="D107" s="137"/>
      <c r="E107" s="137"/>
      <c r="F107" s="138"/>
      <c r="G107" s="139"/>
      <c r="H107" s="139"/>
    </row>
    <row r="108" spans="3:8" ht="12" customHeight="1">
      <c r="C108" s="137"/>
      <c r="D108" s="137"/>
      <c r="E108" s="137"/>
      <c r="F108" s="138"/>
      <c r="G108" s="139"/>
      <c r="H108" s="139"/>
    </row>
    <row r="109" spans="3:8" ht="12" customHeight="1">
      <c r="C109" s="137"/>
      <c r="D109" s="137"/>
      <c r="E109" s="137"/>
      <c r="F109" s="138"/>
      <c r="G109" s="139"/>
      <c r="H109" s="139"/>
    </row>
    <row r="110" spans="3:8" ht="12" customHeight="1">
      <c r="C110" s="137"/>
      <c r="D110" s="137"/>
      <c r="E110" s="137"/>
      <c r="F110" s="138"/>
      <c r="G110" s="139"/>
      <c r="H110" s="139"/>
    </row>
    <row r="111" spans="3:8" ht="12" customHeight="1">
      <c r="C111" s="137"/>
      <c r="D111" s="137"/>
      <c r="E111" s="137"/>
      <c r="F111" s="138"/>
      <c r="G111" s="139"/>
      <c r="H111" s="139"/>
    </row>
    <row r="112" spans="3:8" ht="12" customHeight="1">
      <c r="C112" s="137"/>
      <c r="D112" s="137"/>
      <c r="E112" s="137"/>
      <c r="F112" s="138"/>
      <c r="G112" s="139"/>
      <c r="H112" s="139"/>
    </row>
    <row r="113" spans="3:8" ht="12" customHeight="1">
      <c r="C113" s="137"/>
      <c r="D113" s="137"/>
      <c r="E113" s="137"/>
      <c r="F113" s="138"/>
      <c r="G113" s="139"/>
      <c r="H113" s="139"/>
    </row>
    <row r="114" spans="3:8" ht="12" customHeight="1">
      <c r="C114" s="137"/>
      <c r="D114" s="137"/>
      <c r="E114" s="137"/>
      <c r="F114" s="138"/>
      <c r="G114" s="139"/>
      <c r="H114" s="139"/>
    </row>
    <row r="115" spans="3:8" ht="12" customHeight="1">
      <c r="C115" s="137"/>
      <c r="D115" s="137"/>
      <c r="E115" s="137"/>
      <c r="F115" s="138"/>
      <c r="G115" s="139"/>
      <c r="H115" s="139"/>
    </row>
    <row r="116" spans="3:8" ht="12" customHeight="1">
      <c r="C116" s="137"/>
      <c r="D116" s="137"/>
      <c r="E116" s="137"/>
      <c r="F116" s="138"/>
      <c r="G116" s="139"/>
      <c r="H116" s="139"/>
    </row>
    <row r="117" spans="3:8" ht="12" customHeight="1">
      <c r="C117" s="137"/>
      <c r="D117" s="137"/>
      <c r="E117" s="137"/>
      <c r="F117" s="138"/>
      <c r="G117" s="139"/>
      <c r="H117" s="139"/>
    </row>
    <row r="118" spans="3:8" ht="12" customHeight="1">
      <c r="C118" s="137"/>
      <c r="D118" s="137"/>
      <c r="E118" s="137"/>
      <c r="F118" s="138"/>
      <c r="G118" s="139"/>
      <c r="H118" s="139"/>
    </row>
    <row r="119" spans="3:8" ht="12" customHeight="1">
      <c r="C119" s="137"/>
      <c r="D119" s="137"/>
      <c r="E119" s="137"/>
      <c r="F119" s="138"/>
      <c r="G119" s="139"/>
      <c r="H119" s="139"/>
    </row>
    <row r="120" spans="3:8" ht="12" customHeight="1">
      <c r="C120" s="137"/>
      <c r="D120" s="137"/>
      <c r="E120" s="137"/>
      <c r="F120" s="138"/>
      <c r="G120" s="139"/>
      <c r="H120" s="139"/>
    </row>
    <row r="121" spans="3:8" ht="12" customHeight="1">
      <c r="C121" s="137"/>
      <c r="D121" s="137"/>
      <c r="E121" s="137"/>
      <c r="F121" s="138"/>
      <c r="G121" s="139"/>
      <c r="H121" s="139"/>
    </row>
    <row r="122" spans="3:8" ht="12" customHeight="1">
      <c r="C122" s="137"/>
      <c r="D122" s="137"/>
      <c r="E122" s="137"/>
      <c r="F122" s="138"/>
      <c r="G122" s="139"/>
      <c r="H122" s="139"/>
    </row>
    <row r="123" spans="3:8" ht="12" customHeight="1">
      <c r="C123" s="137"/>
      <c r="D123" s="137"/>
      <c r="E123" s="137"/>
      <c r="F123" s="138"/>
      <c r="G123" s="139"/>
      <c r="H123" s="139"/>
    </row>
    <row r="124" spans="3:8" ht="12" customHeight="1">
      <c r="C124" s="137"/>
      <c r="D124" s="137"/>
      <c r="E124" s="137"/>
      <c r="F124" s="138"/>
      <c r="G124" s="139"/>
      <c r="H124" s="139"/>
    </row>
  </sheetData>
  <mergeCells count="6">
    <mergeCell ref="A14:I14"/>
    <mergeCell ref="A12:I12"/>
    <mergeCell ref="A4:I4"/>
    <mergeCell ref="A10:I10"/>
    <mergeCell ref="A6:I6"/>
    <mergeCell ref="A8:I8"/>
  </mergeCells>
  <phoneticPr fontId="23" type="noConversion"/>
  <pageMargins left="0.74803149606299213" right="0.74803149606299213" top="0.88" bottom="1.03" header="0.66" footer="0.76"/>
  <pageSetup paperSize="9" scale="85" fitToHeight="3" orientation="landscape" r:id="rId1"/>
  <headerFooter alignWithMargins="0"/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121"/>
  <sheetViews>
    <sheetView view="pageBreakPreview" zoomScaleNormal="115" workbookViewId="0">
      <selection activeCell="E7" sqref="E7"/>
    </sheetView>
  </sheetViews>
  <sheetFormatPr defaultRowHeight="12" customHeight="1"/>
  <cols>
    <col min="1" max="1" width="6.109375" style="136" customWidth="1"/>
    <col min="2" max="2" width="3.88671875" style="136" customWidth="1"/>
    <col min="3" max="3" width="5.5546875" style="136" customWidth="1"/>
    <col min="4" max="4" width="44.44140625" style="132" customWidth="1"/>
    <col min="5" max="7" width="7.77734375" style="132" customWidth="1"/>
    <col min="8" max="9" width="7.77734375" style="133" customWidth="1"/>
    <col min="10" max="10" width="7.77734375" style="140" customWidth="1"/>
    <col min="11" max="11" width="5" style="127" customWidth="1"/>
    <col min="12" max="16384" width="8.88671875" style="127"/>
  </cols>
  <sheetData>
    <row r="1" spans="1:13" s="124" customFormat="1" ht="30" customHeight="1" thickBot="1">
      <c r="A1" s="328" t="s">
        <v>692</v>
      </c>
      <c r="B1" s="118"/>
      <c r="C1" s="118"/>
      <c r="D1" s="142"/>
      <c r="E1" s="118"/>
      <c r="F1" s="118"/>
      <c r="G1" s="118"/>
      <c r="H1" s="119"/>
      <c r="I1" s="119"/>
      <c r="J1" s="119"/>
      <c r="K1" s="122"/>
      <c r="L1" s="123"/>
      <c r="M1" s="123"/>
    </row>
    <row r="2" spans="1:13" s="181" customFormat="1" ht="39.950000000000003" customHeight="1">
      <c r="A2" s="589" t="s">
        <v>251</v>
      </c>
      <c r="B2" s="428" t="s">
        <v>25</v>
      </c>
      <c r="C2" s="428" t="s">
        <v>273</v>
      </c>
      <c r="D2" s="428" t="s">
        <v>252</v>
      </c>
      <c r="E2" s="427" t="s">
        <v>253</v>
      </c>
      <c r="F2" s="428" t="s">
        <v>254</v>
      </c>
      <c r="G2" s="429" t="s">
        <v>221</v>
      </c>
      <c r="H2" s="429" t="s">
        <v>219</v>
      </c>
      <c r="I2" s="429" t="s">
        <v>220</v>
      </c>
      <c r="J2" s="430" t="s">
        <v>255</v>
      </c>
      <c r="K2" s="590" t="s">
        <v>30</v>
      </c>
    </row>
    <row r="3" spans="1:13" s="264" customFormat="1" ht="45" customHeight="1">
      <c r="A3" s="580" t="s">
        <v>256</v>
      </c>
      <c r="B3" s="256">
        <v>1</v>
      </c>
      <c r="C3" s="199">
        <v>401</v>
      </c>
      <c r="D3" s="199" t="s">
        <v>661</v>
      </c>
      <c r="E3" s="257">
        <v>1</v>
      </c>
      <c r="F3" s="258">
        <v>2058</v>
      </c>
      <c r="G3" s="258">
        <v>2</v>
      </c>
      <c r="H3" s="260">
        <f t="shared" ref="H3:H5" si="0">IF(F3&gt;=2000,1,IF(F3&gt;=1800,0.9,IF(F3&gt;=1600,0.8,IF(F3&gt;=1400,0.7,IF(F3&gt;=1200,0.6,0)))))</f>
        <v>1</v>
      </c>
      <c r="I3" s="261">
        <f t="shared" ref="I3:I5" si="1">IF(G3&gt;=5,1,IF(G3&gt;=4,0.9,IF(G3&gt;=3,0.8,IF(G3&gt;=2,0.7,IF(G3&gt;=1,0.6,0)))))</f>
        <v>0.7</v>
      </c>
      <c r="J3" s="262">
        <f>배점기준!$E$101*MAX(H3,I3)*E3</f>
        <v>1</v>
      </c>
      <c r="K3" s="263"/>
    </row>
    <row r="4" spans="1:13" s="264" customFormat="1" ht="45" customHeight="1">
      <c r="A4" s="580" t="s">
        <v>256</v>
      </c>
      <c r="B4" s="256">
        <v>2</v>
      </c>
      <c r="C4" s="199">
        <v>441</v>
      </c>
      <c r="D4" s="199" t="s">
        <v>662</v>
      </c>
      <c r="E4" s="257">
        <v>1</v>
      </c>
      <c r="F4" s="258">
        <v>1943</v>
      </c>
      <c r="G4" s="258">
        <v>1</v>
      </c>
      <c r="H4" s="260">
        <f t="shared" si="0"/>
        <v>0.9</v>
      </c>
      <c r="I4" s="261">
        <f t="shared" si="1"/>
        <v>0.6</v>
      </c>
      <c r="J4" s="262">
        <f>배점기준!$E$101*MAX(H4,I4)*E4</f>
        <v>0.9</v>
      </c>
      <c r="K4" s="263"/>
    </row>
    <row r="5" spans="1:13" s="195" customFormat="1" ht="45" customHeight="1">
      <c r="A5" s="580" t="s">
        <v>256</v>
      </c>
      <c r="B5" s="256">
        <v>3</v>
      </c>
      <c r="C5" s="199">
        <v>453</v>
      </c>
      <c r="D5" s="199" t="s">
        <v>663</v>
      </c>
      <c r="E5" s="257">
        <v>1</v>
      </c>
      <c r="F5" s="258">
        <v>3326</v>
      </c>
      <c r="G5" s="258">
        <v>5</v>
      </c>
      <c r="H5" s="260">
        <f t="shared" si="0"/>
        <v>1</v>
      </c>
      <c r="I5" s="261">
        <f t="shared" si="1"/>
        <v>1</v>
      </c>
      <c r="J5" s="262">
        <f>배점기준!$E$101*MAX(H5,I5)*E5</f>
        <v>1</v>
      </c>
      <c r="K5" s="263"/>
    </row>
    <row r="6" spans="1:13" s="264" customFormat="1" ht="45" customHeight="1">
      <c r="A6" s="1143" t="s">
        <v>214</v>
      </c>
      <c r="B6" s="1144"/>
      <c r="C6" s="1144"/>
      <c r="D6" s="1144"/>
      <c r="E6" s="1144"/>
      <c r="F6" s="1144"/>
      <c r="G6" s="1144"/>
      <c r="H6" s="1144"/>
      <c r="I6" s="1145"/>
      <c r="J6" s="507">
        <f>SUM(J3:J5)</f>
        <v>2.9</v>
      </c>
      <c r="K6" s="263"/>
    </row>
    <row r="7" spans="1:13" s="264" customFormat="1" ht="45" customHeight="1">
      <c r="A7" s="691" t="s">
        <v>664</v>
      </c>
      <c r="B7" s="649">
        <v>12</v>
      </c>
      <c r="C7" s="649" t="s">
        <v>665</v>
      </c>
      <c r="D7" s="648" t="s">
        <v>666</v>
      </c>
      <c r="E7" s="689">
        <v>0.6</v>
      </c>
      <c r="F7" s="690">
        <v>97</v>
      </c>
      <c r="G7" s="690">
        <v>1</v>
      </c>
      <c r="H7" s="260">
        <f>IF(F7&gt;=2000,1,IF(F7&gt;=1800,0.9,IF(F7&gt;=1600,0.8,IF(F7&gt;=1400,0.7,IF(F7&gt;=1200,0.6,0)))))</f>
        <v>0</v>
      </c>
      <c r="I7" s="261">
        <f>IF(G7&gt;=5,1,IF(G7&gt;=4,0.9,IF(G7&gt;=3,0.8,IF(G7&gt;=2,0.7,IF(G7&gt;=1,0.6,0)))))</f>
        <v>0.6</v>
      </c>
      <c r="J7" s="262">
        <f>배점기준!$F$94*MAX(H7,I7)*E7</f>
        <v>0.36</v>
      </c>
      <c r="K7" s="263"/>
    </row>
    <row r="8" spans="1:13" s="264" customFormat="1" ht="45" customHeight="1">
      <c r="A8" s="1141" t="s">
        <v>258</v>
      </c>
      <c r="B8" s="1142"/>
      <c r="C8" s="1142"/>
      <c r="D8" s="1142"/>
      <c r="E8" s="1142"/>
      <c r="F8" s="1142"/>
      <c r="G8" s="1142"/>
      <c r="H8" s="1142"/>
      <c r="I8" s="1142"/>
      <c r="J8" s="507">
        <f>SUM(J7:J7)</f>
        <v>0.36</v>
      </c>
      <c r="K8" s="263"/>
    </row>
    <row r="9" spans="1:13" s="195" customFormat="1" ht="45" customHeight="1">
      <c r="A9" s="581" t="s">
        <v>216</v>
      </c>
      <c r="B9" s="256"/>
      <c r="C9" s="256"/>
      <c r="D9" s="256"/>
      <c r="E9" s="257"/>
      <c r="F9" s="258"/>
      <c r="G9" s="258"/>
      <c r="H9" s="260"/>
      <c r="I9" s="261"/>
      <c r="J9" s="262"/>
      <c r="K9" s="263"/>
    </row>
    <row r="10" spans="1:13" s="264" customFormat="1" ht="45" customHeight="1" thickBot="1">
      <c r="A10" s="1139" t="s">
        <v>259</v>
      </c>
      <c r="B10" s="1140"/>
      <c r="C10" s="1140"/>
      <c r="D10" s="1140"/>
      <c r="E10" s="1140"/>
      <c r="F10" s="1140"/>
      <c r="G10" s="1140"/>
      <c r="H10" s="1140"/>
      <c r="I10" s="1140"/>
      <c r="J10" s="508">
        <f>SUM(J9:J9)</f>
        <v>0</v>
      </c>
      <c r="K10" s="265"/>
    </row>
    <row r="11" spans="1:13" s="195" customFormat="1" ht="15" customHeight="1">
      <c r="A11" s="266"/>
      <c r="B11" s="266"/>
      <c r="C11" s="284"/>
      <c r="D11" s="267"/>
      <c r="E11" s="267"/>
      <c r="F11" s="267"/>
      <c r="G11" s="267"/>
      <c r="H11" s="268"/>
      <c r="I11" s="268"/>
      <c r="J11" s="268"/>
    </row>
    <row r="12" spans="1:13" s="195" customFormat="1" ht="15" customHeight="1">
      <c r="A12" s="269"/>
      <c r="B12" s="269"/>
      <c r="C12" s="282"/>
      <c r="D12" s="270"/>
      <c r="E12" s="270"/>
      <c r="F12" s="270"/>
      <c r="G12" s="270"/>
      <c r="H12" s="271"/>
      <c r="I12" s="271"/>
      <c r="J12" s="271"/>
    </row>
    <row r="13" spans="1:13" ht="15" customHeight="1">
      <c r="A13" s="131"/>
      <c r="B13" s="131"/>
      <c r="C13" s="283"/>
      <c r="J13" s="133"/>
    </row>
    <row r="14" spans="1:13" ht="15" customHeight="1">
      <c r="A14" s="131"/>
      <c r="B14" s="131"/>
      <c r="C14" s="283"/>
      <c r="J14" s="133"/>
    </row>
    <row r="15" spans="1:13" ht="15" customHeight="1">
      <c r="A15" s="131"/>
      <c r="B15" s="131"/>
      <c r="C15" s="283"/>
      <c r="J15" s="133"/>
    </row>
    <row r="16" spans="1:13" ht="15" customHeight="1">
      <c r="A16" s="131"/>
      <c r="B16" s="131"/>
      <c r="C16" s="283"/>
      <c r="J16" s="133"/>
    </row>
    <row r="17" spans="5:10" ht="15" customHeight="1">
      <c r="E17" s="137"/>
      <c r="F17" s="137"/>
      <c r="G17" s="137"/>
      <c r="H17" s="138"/>
      <c r="I17" s="138"/>
      <c r="J17" s="139"/>
    </row>
    <row r="18" spans="5:10" ht="15" customHeight="1">
      <c r="E18" s="137"/>
      <c r="F18" s="137"/>
      <c r="G18" s="137"/>
      <c r="H18" s="138"/>
      <c r="I18" s="138"/>
      <c r="J18" s="139"/>
    </row>
    <row r="19" spans="5:10" ht="15" customHeight="1">
      <c r="E19" s="137"/>
      <c r="F19" s="137"/>
      <c r="G19" s="137"/>
      <c r="H19" s="138"/>
      <c r="I19" s="138"/>
      <c r="J19" s="139"/>
    </row>
    <row r="20" spans="5:10" ht="15" customHeight="1">
      <c r="E20" s="137"/>
      <c r="F20" s="137"/>
      <c r="G20" s="137"/>
      <c r="H20" s="138"/>
      <c r="I20" s="138"/>
      <c r="J20" s="139"/>
    </row>
    <row r="21" spans="5:10" ht="15" customHeight="1">
      <c r="E21" s="137"/>
      <c r="F21" s="137"/>
      <c r="G21" s="137"/>
      <c r="H21" s="138"/>
      <c r="I21" s="138"/>
      <c r="J21" s="139"/>
    </row>
    <row r="22" spans="5:10" ht="12" customHeight="1">
      <c r="E22" s="137"/>
      <c r="F22" s="137"/>
      <c r="G22" s="137"/>
      <c r="H22" s="138"/>
      <c r="I22" s="138"/>
      <c r="J22" s="139"/>
    </row>
    <row r="23" spans="5:10" ht="12" customHeight="1">
      <c r="E23" s="137"/>
      <c r="F23" s="137"/>
      <c r="G23" s="137"/>
      <c r="H23" s="138"/>
      <c r="I23" s="138"/>
      <c r="J23" s="139"/>
    </row>
    <row r="24" spans="5:10" ht="12" customHeight="1">
      <c r="E24" s="137"/>
      <c r="F24" s="137"/>
      <c r="G24" s="137"/>
      <c r="H24" s="138"/>
      <c r="I24" s="138"/>
      <c r="J24" s="139"/>
    </row>
    <row r="25" spans="5:10" ht="12" customHeight="1">
      <c r="E25" s="137"/>
      <c r="F25" s="137"/>
      <c r="G25" s="137"/>
      <c r="H25" s="138"/>
      <c r="I25" s="138"/>
      <c r="J25" s="139"/>
    </row>
    <row r="26" spans="5:10" ht="12" customHeight="1">
      <c r="E26" s="137"/>
      <c r="F26" s="137"/>
      <c r="G26" s="137"/>
      <c r="H26" s="138"/>
      <c r="I26" s="138"/>
      <c r="J26" s="139"/>
    </row>
    <row r="27" spans="5:10" ht="12" customHeight="1">
      <c r="E27" s="137"/>
      <c r="F27" s="137"/>
      <c r="G27" s="137"/>
      <c r="H27" s="138"/>
      <c r="I27" s="138"/>
      <c r="J27" s="139"/>
    </row>
    <row r="28" spans="5:10" ht="12" customHeight="1">
      <c r="E28" s="137"/>
      <c r="F28" s="137"/>
      <c r="G28" s="137"/>
      <c r="H28" s="138"/>
      <c r="I28" s="138"/>
      <c r="J28" s="139"/>
    </row>
    <row r="29" spans="5:10" ht="12" customHeight="1">
      <c r="E29" s="137"/>
      <c r="F29" s="137"/>
      <c r="G29" s="137"/>
      <c r="H29" s="138"/>
      <c r="I29" s="138"/>
      <c r="J29" s="139"/>
    </row>
    <row r="30" spans="5:10" ht="12" customHeight="1">
      <c r="E30" s="137"/>
      <c r="F30" s="137"/>
      <c r="G30" s="137"/>
      <c r="H30" s="138"/>
      <c r="I30" s="138"/>
      <c r="J30" s="139"/>
    </row>
    <row r="31" spans="5:10" ht="12" customHeight="1">
      <c r="E31" s="137"/>
      <c r="F31" s="137"/>
      <c r="G31" s="137"/>
      <c r="H31" s="138"/>
      <c r="I31" s="138"/>
      <c r="J31" s="139"/>
    </row>
    <row r="32" spans="5:10" ht="12" customHeight="1">
      <c r="E32" s="137"/>
      <c r="F32" s="137"/>
      <c r="G32" s="137"/>
      <c r="H32" s="138"/>
      <c r="I32" s="138"/>
      <c r="J32" s="139"/>
    </row>
    <row r="33" spans="5:10" ht="12" customHeight="1">
      <c r="E33" s="137"/>
      <c r="F33" s="137"/>
      <c r="G33" s="137"/>
      <c r="H33" s="138"/>
      <c r="I33" s="138"/>
      <c r="J33" s="139"/>
    </row>
    <row r="34" spans="5:10" ht="12" customHeight="1">
      <c r="E34" s="137"/>
      <c r="F34" s="137"/>
      <c r="G34" s="137"/>
      <c r="H34" s="138"/>
      <c r="I34" s="138"/>
      <c r="J34" s="139"/>
    </row>
    <row r="35" spans="5:10" ht="12" customHeight="1">
      <c r="E35" s="137"/>
      <c r="F35" s="137"/>
      <c r="G35" s="137"/>
      <c r="H35" s="138"/>
      <c r="I35" s="138"/>
      <c r="J35" s="139"/>
    </row>
    <row r="36" spans="5:10" ht="12" customHeight="1">
      <c r="E36" s="137"/>
      <c r="F36" s="137"/>
      <c r="G36" s="137"/>
      <c r="H36" s="138"/>
      <c r="I36" s="138"/>
      <c r="J36" s="139"/>
    </row>
    <row r="37" spans="5:10" ht="12" customHeight="1">
      <c r="E37" s="137"/>
      <c r="F37" s="137"/>
      <c r="G37" s="137"/>
      <c r="H37" s="138"/>
      <c r="I37" s="138"/>
      <c r="J37" s="139"/>
    </row>
    <row r="38" spans="5:10" ht="12" customHeight="1">
      <c r="E38" s="137"/>
      <c r="F38" s="137"/>
      <c r="G38" s="137"/>
      <c r="H38" s="138"/>
      <c r="I38" s="138"/>
      <c r="J38" s="139"/>
    </row>
    <row r="39" spans="5:10" ht="12" customHeight="1">
      <c r="E39" s="137"/>
      <c r="F39" s="137"/>
      <c r="G39" s="137"/>
      <c r="H39" s="138"/>
      <c r="I39" s="138"/>
      <c r="J39" s="139"/>
    </row>
    <row r="40" spans="5:10" ht="12" customHeight="1">
      <c r="E40" s="137"/>
      <c r="F40" s="137"/>
      <c r="G40" s="137"/>
      <c r="H40" s="138"/>
      <c r="I40" s="138"/>
      <c r="J40" s="139"/>
    </row>
    <row r="41" spans="5:10" ht="12" customHeight="1">
      <c r="E41" s="137"/>
      <c r="F41" s="137"/>
      <c r="G41" s="137"/>
      <c r="H41" s="138"/>
      <c r="I41" s="138"/>
      <c r="J41" s="139"/>
    </row>
    <row r="42" spans="5:10" ht="12" customHeight="1">
      <c r="E42" s="137"/>
      <c r="F42" s="137"/>
      <c r="G42" s="137"/>
      <c r="H42" s="138"/>
      <c r="I42" s="138"/>
      <c r="J42" s="139"/>
    </row>
    <row r="43" spans="5:10" ht="12" customHeight="1">
      <c r="E43" s="137"/>
      <c r="F43" s="137"/>
      <c r="G43" s="137"/>
      <c r="H43" s="138"/>
      <c r="I43" s="138"/>
      <c r="J43" s="139"/>
    </row>
    <row r="44" spans="5:10" ht="12" customHeight="1">
      <c r="E44" s="137"/>
      <c r="F44" s="137"/>
      <c r="G44" s="137"/>
      <c r="H44" s="138"/>
      <c r="I44" s="138"/>
      <c r="J44" s="139"/>
    </row>
    <row r="45" spans="5:10" ht="12" customHeight="1">
      <c r="E45" s="137"/>
      <c r="F45" s="137"/>
      <c r="G45" s="137"/>
      <c r="H45" s="138"/>
      <c r="I45" s="138"/>
      <c r="J45" s="139"/>
    </row>
    <row r="46" spans="5:10" ht="12" customHeight="1">
      <c r="E46" s="137"/>
      <c r="F46" s="137"/>
      <c r="G46" s="137"/>
      <c r="H46" s="138"/>
      <c r="I46" s="138"/>
      <c r="J46" s="139"/>
    </row>
    <row r="47" spans="5:10" ht="12" customHeight="1">
      <c r="E47" s="137"/>
      <c r="F47" s="137"/>
      <c r="G47" s="137"/>
      <c r="H47" s="138"/>
      <c r="I47" s="138"/>
      <c r="J47" s="139"/>
    </row>
    <row r="48" spans="5:10" ht="12" customHeight="1">
      <c r="E48" s="137"/>
      <c r="F48" s="137"/>
      <c r="G48" s="137"/>
      <c r="H48" s="138"/>
      <c r="I48" s="138"/>
      <c r="J48" s="139"/>
    </row>
    <row r="49" spans="5:10" ht="12" customHeight="1">
      <c r="E49" s="137"/>
      <c r="F49" s="137"/>
      <c r="G49" s="137"/>
      <c r="H49" s="138"/>
      <c r="I49" s="138"/>
      <c r="J49" s="139"/>
    </row>
    <row r="50" spans="5:10" ht="12" customHeight="1">
      <c r="E50" s="137"/>
      <c r="F50" s="137"/>
      <c r="G50" s="137"/>
      <c r="H50" s="138"/>
      <c r="I50" s="138"/>
      <c r="J50" s="139"/>
    </row>
    <row r="51" spans="5:10" ht="12" customHeight="1">
      <c r="E51" s="137"/>
      <c r="F51" s="137"/>
      <c r="G51" s="137"/>
      <c r="H51" s="138"/>
      <c r="I51" s="138"/>
      <c r="J51" s="139"/>
    </row>
    <row r="52" spans="5:10" ht="12" customHeight="1">
      <c r="E52" s="137"/>
      <c r="F52" s="137"/>
      <c r="G52" s="137"/>
      <c r="H52" s="138"/>
      <c r="I52" s="138"/>
      <c r="J52" s="139"/>
    </row>
    <row r="53" spans="5:10" ht="12" customHeight="1">
      <c r="E53" s="137"/>
      <c r="F53" s="137"/>
      <c r="G53" s="137"/>
      <c r="H53" s="138"/>
      <c r="I53" s="138"/>
      <c r="J53" s="139"/>
    </row>
    <row r="54" spans="5:10" ht="12" customHeight="1">
      <c r="E54" s="137"/>
      <c r="F54" s="137"/>
      <c r="G54" s="137"/>
      <c r="H54" s="138"/>
      <c r="I54" s="138"/>
      <c r="J54" s="139"/>
    </row>
    <row r="55" spans="5:10" ht="12" customHeight="1">
      <c r="E55" s="137"/>
      <c r="F55" s="137"/>
      <c r="G55" s="137"/>
      <c r="H55" s="138"/>
      <c r="I55" s="138"/>
      <c r="J55" s="139"/>
    </row>
    <row r="56" spans="5:10" ht="12" customHeight="1">
      <c r="E56" s="137"/>
      <c r="F56" s="137"/>
      <c r="G56" s="137"/>
      <c r="H56" s="138"/>
      <c r="I56" s="138"/>
      <c r="J56" s="139"/>
    </row>
    <row r="57" spans="5:10" ht="12" customHeight="1">
      <c r="E57" s="137"/>
      <c r="F57" s="137"/>
      <c r="G57" s="137"/>
      <c r="H57" s="138"/>
      <c r="I57" s="138"/>
      <c r="J57" s="139"/>
    </row>
    <row r="58" spans="5:10" ht="12" customHeight="1">
      <c r="E58" s="137"/>
      <c r="F58" s="137"/>
      <c r="G58" s="137"/>
      <c r="H58" s="138"/>
      <c r="I58" s="138"/>
      <c r="J58" s="139"/>
    </row>
    <row r="59" spans="5:10" ht="12" customHeight="1">
      <c r="E59" s="137"/>
      <c r="F59" s="137"/>
      <c r="G59" s="137"/>
      <c r="H59" s="138"/>
      <c r="I59" s="138"/>
      <c r="J59" s="139"/>
    </row>
    <row r="60" spans="5:10" ht="12" customHeight="1">
      <c r="E60" s="137"/>
      <c r="F60" s="137"/>
      <c r="G60" s="137"/>
      <c r="H60" s="138"/>
      <c r="I60" s="138"/>
      <c r="J60" s="139"/>
    </row>
    <row r="61" spans="5:10" ht="12" customHeight="1">
      <c r="E61" s="137"/>
      <c r="F61" s="137"/>
      <c r="G61" s="137"/>
      <c r="H61" s="138"/>
      <c r="I61" s="138"/>
      <c r="J61" s="139"/>
    </row>
    <row r="62" spans="5:10" ht="12" customHeight="1">
      <c r="E62" s="137"/>
      <c r="F62" s="137"/>
      <c r="G62" s="137"/>
      <c r="H62" s="138"/>
      <c r="I62" s="138"/>
      <c r="J62" s="139"/>
    </row>
    <row r="63" spans="5:10" ht="12" customHeight="1">
      <c r="E63" s="137"/>
      <c r="F63" s="137"/>
      <c r="G63" s="137"/>
      <c r="H63" s="138"/>
      <c r="I63" s="138"/>
      <c r="J63" s="139"/>
    </row>
    <row r="64" spans="5:10" ht="12" customHeight="1">
      <c r="E64" s="137"/>
      <c r="F64" s="137"/>
      <c r="G64" s="137"/>
      <c r="H64" s="138"/>
      <c r="I64" s="138"/>
      <c r="J64" s="139"/>
    </row>
    <row r="65" spans="5:10" ht="12" customHeight="1">
      <c r="E65" s="137"/>
      <c r="F65" s="137"/>
      <c r="G65" s="137"/>
      <c r="H65" s="138"/>
      <c r="I65" s="138"/>
      <c r="J65" s="139"/>
    </row>
    <row r="66" spans="5:10" ht="12" customHeight="1">
      <c r="E66" s="137"/>
      <c r="F66" s="137"/>
      <c r="G66" s="137"/>
      <c r="H66" s="138"/>
      <c r="I66" s="138"/>
      <c r="J66" s="139"/>
    </row>
    <row r="67" spans="5:10" ht="12" customHeight="1">
      <c r="E67" s="137"/>
      <c r="F67" s="137"/>
      <c r="G67" s="137"/>
      <c r="H67" s="138"/>
      <c r="I67" s="138"/>
      <c r="J67" s="139"/>
    </row>
    <row r="68" spans="5:10" ht="12" customHeight="1">
      <c r="E68" s="137"/>
      <c r="F68" s="137"/>
      <c r="G68" s="137"/>
      <c r="H68" s="138"/>
      <c r="I68" s="138"/>
      <c r="J68" s="139"/>
    </row>
    <row r="69" spans="5:10" ht="12" customHeight="1">
      <c r="E69" s="137"/>
      <c r="F69" s="137"/>
      <c r="G69" s="137"/>
      <c r="H69" s="138"/>
      <c r="I69" s="138"/>
      <c r="J69" s="139"/>
    </row>
    <row r="70" spans="5:10" ht="12" customHeight="1">
      <c r="E70" s="137"/>
      <c r="F70" s="137"/>
      <c r="G70" s="137"/>
      <c r="H70" s="138"/>
      <c r="I70" s="138"/>
      <c r="J70" s="139"/>
    </row>
    <row r="71" spans="5:10" ht="12" customHeight="1">
      <c r="E71" s="137"/>
      <c r="F71" s="137"/>
      <c r="G71" s="137"/>
      <c r="H71" s="138"/>
      <c r="I71" s="138"/>
      <c r="J71" s="139"/>
    </row>
    <row r="72" spans="5:10" ht="12" customHeight="1">
      <c r="E72" s="137"/>
      <c r="F72" s="137"/>
      <c r="G72" s="137"/>
      <c r="H72" s="138"/>
      <c r="I72" s="138"/>
      <c r="J72" s="139"/>
    </row>
    <row r="73" spans="5:10" ht="12" customHeight="1">
      <c r="E73" s="137"/>
      <c r="F73" s="137"/>
      <c r="G73" s="137"/>
      <c r="H73" s="138"/>
      <c r="I73" s="138"/>
      <c r="J73" s="139"/>
    </row>
    <row r="74" spans="5:10" ht="12" customHeight="1">
      <c r="E74" s="137"/>
      <c r="F74" s="137"/>
      <c r="G74" s="137"/>
      <c r="H74" s="138"/>
      <c r="I74" s="138"/>
      <c r="J74" s="139"/>
    </row>
    <row r="75" spans="5:10" ht="12" customHeight="1">
      <c r="E75" s="137"/>
      <c r="F75" s="137"/>
      <c r="G75" s="137"/>
      <c r="H75" s="138"/>
      <c r="I75" s="138"/>
      <c r="J75" s="139"/>
    </row>
    <row r="76" spans="5:10" ht="12" customHeight="1">
      <c r="E76" s="137"/>
      <c r="F76" s="137"/>
      <c r="G76" s="137"/>
      <c r="H76" s="138"/>
      <c r="I76" s="138"/>
      <c r="J76" s="139"/>
    </row>
    <row r="77" spans="5:10" ht="12" customHeight="1">
      <c r="E77" s="137"/>
      <c r="F77" s="137"/>
      <c r="G77" s="137"/>
      <c r="H77" s="138"/>
      <c r="I77" s="138"/>
      <c r="J77" s="139"/>
    </row>
    <row r="78" spans="5:10" ht="12" customHeight="1">
      <c r="E78" s="137"/>
      <c r="F78" s="137"/>
      <c r="G78" s="137"/>
      <c r="H78" s="138"/>
      <c r="I78" s="138"/>
      <c r="J78" s="139"/>
    </row>
    <row r="79" spans="5:10" ht="12" customHeight="1">
      <c r="E79" s="137"/>
      <c r="F79" s="137"/>
      <c r="G79" s="137"/>
      <c r="H79" s="138"/>
      <c r="I79" s="138"/>
      <c r="J79" s="139"/>
    </row>
    <row r="80" spans="5:10" ht="12" customHeight="1">
      <c r="E80" s="137"/>
      <c r="F80" s="137"/>
      <c r="G80" s="137"/>
      <c r="H80" s="138"/>
      <c r="I80" s="138"/>
      <c r="J80" s="139"/>
    </row>
    <row r="81" spans="5:10" ht="12" customHeight="1">
      <c r="E81" s="137"/>
      <c r="F81" s="137"/>
      <c r="G81" s="137"/>
      <c r="H81" s="138"/>
      <c r="I81" s="138"/>
      <c r="J81" s="139"/>
    </row>
    <row r="82" spans="5:10" ht="12" customHeight="1">
      <c r="E82" s="137"/>
      <c r="F82" s="137"/>
      <c r="G82" s="137"/>
      <c r="H82" s="138"/>
      <c r="I82" s="138"/>
      <c r="J82" s="139"/>
    </row>
    <row r="83" spans="5:10" ht="12" customHeight="1">
      <c r="E83" s="137"/>
      <c r="F83" s="137"/>
      <c r="G83" s="137"/>
      <c r="H83" s="138"/>
      <c r="I83" s="138"/>
      <c r="J83" s="139"/>
    </row>
    <row r="84" spans="5:10" ht="12" customHeight="1">
      <c r="E84" s="137"/>
      <c r="F84" s="137"/>
      <c r="G84" s="137"/>
      <c r="H84" s="138"/>
      <c r="I84" s="138"/>
      <c r="J84" s="139"/>
    </row>
    <row r="85" spans="5:10" ht="12" customHeight="1">
      <c r="E85" s="137"/>
      <c r="F85" s="137"/>
      <c r="G85" s="137"/>
      <c r="H85" s="138"/>
      <c r="I85" s="138"/>
      <c r="J85" s="139"/>
    </row>
    <row r="86" spans="5:10" ht="12" customHeight="1">
      <c r="E86" s="137"/>
      <c r="F86" s="137"/>
      <c r="G86" s="137"/>
      <c r="H86" s="138"/>
      <c r="I86" s="138"/>
      <c r="J86" s="139"/>
    </row>
    <row r="87" spans="5:10" ht="12" customHeight="1">
      <c r="E87" s="137"/>
      <c r="F87" s="137"/>
      <c r="G87" s="137"/>
      <c r="H87" s="138"/>
      <c r="I87" s="138"/>
      <c r="J87" s="139"/>
    </row>
    <row r="88" spans="5:10" ht="12" customHeight="1">
      <c r="E88" s="137"/>
      <c r="F88" s="137"/>
      <c r="G88" s="137"/>
      <c r="H88" s="138"/>
      <c r="I88" s="138"/>
      <c r="J88" s="139"/>
    </row>
    <row r="89" spans="5:10" ht="12" customHeight="1">
      <c r="E89" s="137"/>
      <c r="F89" s="137"/>
      <c r="G89" s="137"/>
      <c r="H89" s="138"/>
      <c r="I89" s="138"/>
      <c r="J89" s="139"/>
    </row>
    <row r="90" spans="5:10" ht="12" customHeight="1">
      <c r="E90" s="137"/>
      <c r="F90" s="137"/>
      <c r="G90" s="137"/>
      <c r="H90" s="138"/>
      <c r="I90" s="138"/>
      <c r="J90" s="139"/>
    </row>
    <row r="91" spans="5:10" ht="12" customHeight="1">
      <c r="E91" s="137"/>
      <c r="F91" s="137"/>
      <c r="G91" s="137"/>
      <c r="H91" s="138"/>
      <c r="I91" s="138"/>
      <c r="J91" s="139"/>
    </row>
    <row r="92" spans="5:10" ht="12" customHeight="1">
      <c r="E92" s="137"/>
      <c r="F92" s="137"/>
      <c r="G92" s="137"/>
      <c r="H92" s="138"/>
      <c r="I92" s="138"/>
      <c r="J92" s="139"/>
    </row>
    <row r="93" spans="5:10" ht="12" customHeight="1">
      <c r="E93" s="137"/>
      <c r="F93" s="137"/>
      <c r="G93" s="137"/>
      <c r="H93" s="138"/>
      <c r="I93" s="138"/>
      <c r="J93" s="139"/>
    </row>
    <row r="94" spans="5:10" ht="12" customHeight="1">
      <c r="E94" s="137"/>
      <c r="F94" s="137"/>
      <c r="G94" s="137"/>
      <c r="H94" s="138"/>
      <c r="I94" s="138"/>
      <c r="J94" s="139"/>
    </row>
    <row r="95" spans="5:10" ht="12" customHeight="1">
      <c r="E95" s="137"/>
      <c r="F95" s="137"/>
      <c r="G95" s="137"/>
      <c r="H95" s="138"/>
      <c r="I95" s="138"/>
      <c r="J95" s="139"/>
    </row>
    <row r="96" spans="5:10" ht="12" customHeight="1">
      <c r="E96" s="137"/>
      <c r="F96" s="137"/>
      <c r="G96" s="137"/>
      <c r="H96" s="138"/>
      <c r="I96" s="138"/>
      <c r="J96" s="139"/>
    </row>
    <row r="97" spans="5:10" ht="12" customHeight="1">
      <c r="E97" s="137"/>
      <c r="F97" s="137"/>
      <c r="G97" s="137"/>
      <c r="H97" s="138"/>
      <c r="I97" s="138"/>
      <c r="J97" s="139"/>
    </row>
    <row r="98" spans="5:10" ht="12" customHeight="1">
      <c r="E98" s="137"/>
      <c r="F98" s="137"/>
      <c r="G98" s="137"/>
      <c r="H98" s="138"/>
      <c r="I98" s="138"/>
      <c r="J98" s="139"/>
    </row>
    <row r="99" spans="5:10" ht="12" customHeight="1">
      <c r="E99" s="137"/>
      <c r="F99" s="137"/>
      <c r="G99" s="137"/>
      <c r="H99" s="138"/>
      <c r="I99" s="138"/>
      <c r="J99" s="139"/>
    </row>
    <row r="100" spans="5:10" ht="12" customHeight="1">
      <c r="E100" s="137"/>
      <c r="F100" s="137"/>
      <c r="G100" s="137"/>
      <c r="H100" s="138"/>
      <c r="I100" s="138"/>
      <c r="J100" s="139"/>
    </row>
    <row r="101" spans="5:10" ht="12" customHeight="1">
      <c r="E101" s="137"/>
      <c r="F101" s="137"/>
      <c r="G101" s="137"/>
      <c r="H101" s="138"/>
      <c r="I101" s="138"/>
      <c r="J101" s="139"/>
    </row>
    <row r="102" spans="5:10" ht="12" customHeight="1">
      <c r="E102" s="137"/>
      <c r="F102" s="137"/>
      <c r="G102" s="137"/>
      <c r="H102" s="138"/>
      <c r="I102" s="138"/>
      <c r="J102" s="139"/>
    </row>
    <row r="103" spans="5:10" ht="12" customHeight="1">
      <c r="E103" s="137"/>
      <c r="F103" s="137"/>
      <c r="G103" s="137"/>
      <c r="H103" s="138"/>
      <c r="I103" s="138"/>
      <c r="J103" s="139"/>
    </row>
    <row r="104" spans="5:10" ht="12" customHeight="1">
      <c r="E104" s="137"/>
      <c r="F104" s="137"/>
      <c r="G104" s="137"/>
      <c r="H104" s="138"/>
      <c r="I104" s="138"/>
      <c r="J104" s="139"/>
    </row>
    <row r="105" spans="5:10" ht="12" customHeight="1">
      <c r="E105" s="137"/>
      <c r="F105" s="137"/>
      <c r="G105" s="137"/>
      <c r="H105" s="138"/>
      <c r="I105" s="138"/>
      <c r="J105" s="139"/>
    </row>
    <row r="106" spans="5:10" ht="12" customHeight="1">
      <c r="E106" s="137"/>
      <c r="F106" s="137"/>
      <c r="G106" s="137"/>
      <c r="H106" s="138"/>
      <c r="I106" s="138"/>
      <c r="J106" s="139"/>
    </row>
    <row r="107" spans="5:10" ht="12" customHeight="1">
      <c r="E107" s="137"/>
      <c r="F107" s="137"/>
      <c r="G107" s="137"/>
      <c r="H107" s="138"/>
      <c r="I107" s="138"/>
      <c r="J107" s="139"/>
    </row>
    <row r="108" spans="5:10" ht="12" customHeight="1">
      <c r="E108" s="137"/>
      <c r="F108" s="137"/>
      <c r="G108" s="137"/>
      <c r="H108" s="138"/>
      <c r="I108" s="138"/>
      <c r="J108" s="139"/>
    </row>
    <row r="109" spans="5:10" ht="12" customHeight="1">
      <c r="E109" s="137"/>
      <c r="F109" s="137"/>
      <c r="G109" s="137"/>
      <c r="H109" s="138"/>
      <c r="I109" s="138"/>
      <c r="J109" s="139"/>
    </row>
    <row r="110" spans="5:10" ht="12" customHeight="1">
      <c r="E110" s="137"/>
      <c r="F110" s="137"/>
      <c r="G110" s="137"/>
      <c r="H110" s="138"/>
      <c r="I110" s="138"/>
      <c r="J110" s="139"/>
    </row>
    <row r="111" spans="5:10" ht="12" customHeight="1">
      <c r="E111" s="137"/>
      <c r="F111" s="137"/>
      <c r="G111" s="137"/>
      <c r="H111" s="138"/>
      <c r="I111" s="138"/>
      <c r="J111" s="139"/>
    </row>
    <row r="112" spans="5:10" ht="12" customHeight="1">
      <c r="E112" s="137"/>
      <c r="F112" s="137"/>
      <c r="G112" s="137"/>
      <c r="H112" s="138"/>
      <c r="I112" s="138"/>
      <c r="J112" s="139"/>
    </row>
    <row r="113" spans="5:10" ht="12" customHeight="1">
      <c r="E113" s="137"/>
      <c r="F113" s="137"/>
      <c r="G113" s="137"/>
      <c r="H113" s="138"/>
      <c r="I113" s="138"/>
      <c r="J113" s="139"/>
    </row>
    <row r="114" spans="5:10" ht="12" customHeight="1">
      <c r="E114" s="137"/>
      <c r="F114" s="137"/>
      <c r="G114" s="137"/>
      <c r="H114" s="138"/>
      <c r="I114" s="138"/>
      <c r="J114" s="139"/>
    </row>
    <row r="115" spans="5:10" ht="12" customHeight="1">
      <c r="E115" s="137"/>
      <c r="F115" s="137"/>
      <c r="G115" s="137"/>
      <c r="H115" s="138"/>
      <c r="I115" s="138"/>
      <c r="J115" s="139"/>
    </row>
    <row r="116" spans="5:10" ht="12" customHeight="1">
      <c r="E116" s="137"/>
      <c r="F116" s="137"/>
      <c r="G116" s="137"/>
      <c r="H116" s="138"/>
      <c r="I116" s="138"/>
      <c r="J116" s="139"/>
    </row>
    <row r="117" spans="5:10" ht="12" customHeight="1">
      <c r="E117" s="137"/>
      <c r="F117" s="137"/>
      <c r="G117" s="137"/>
      <c r="H117" s="138"/>
      <c r="I117" s="138"/>
      <c r="J117" s="139"/>
    </row>
    <row r="118" spans="5:10" ht="12" customHeight="1">
      <c r="E118" s="137"/>
      <c r="F118" s="137"/>
      <c r="G118" s="137"/>
      <c r="H118" s="138"/>
      <c r="I118" s="138"/>
      <c r="J118" s="139"/>
    </row>
    <row r="119" spans="5:10" ht="12" customHeight="1">
      <c r="E119" s="137"/>
      <c r="F119" s="137"/>
      <c r="G119" s="137"/>
      <c r="H119" s="138"/>
      <c r="I119" s="138"/>
      <c r="J119" s="139"/>
    </row>
    <row r="120" spans="5:10" ht="12" customHeight="1">
      <c r="E120" s="137"/>
      <c r="F120" s="137"/>
      <c r="G120" s="137"/>
      <c r="H120" s="138"/>
      <c r="I120" s="138"/>
      <c r="J120" s="139"/>
    </row>
    <row r="121" spans="5:10" ht="12" customHeight="1">
      <c r="E121" s="137"/>
      <c r="F121" s="137"/>
      <c r="G121" s="137"/>
      <c r="H121" s="138"/>
      <c r="I121" s="138"/>
      <c r="J121" s="139"/>
    </row>
  </sheetData>
  <mergeCells count="3">
    <mergeCell ref="A6:I6"/>
    <mergeCell ref="A8:I8"/>
    <mergeCell ref="A10:I10"/>
  </mergeCells>
  <phoneticPr fontId="2" type="noConversion"/>
  <pageMargins left="0.74803149606299213" right="0.74803149606299213" top="0.95" bottom="0.78740157480314965" header="0.51181102362204722" footer="0.51181102362204722"/>
  <pageSetup paperSize="9" fitToHeight="3" orientation="landscape" r:id="rId1"/>
  <headerFooter alignWithMargins="0"/>
  <rowBreaks count="1" manualBreakCount="1">
    <brk id="6" max="10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M125"/>
  <sheetViews>
    <sheetView view="pageBreakPreview" zoomScaleNormal="115" workbookViewId="0">
      <selection activeCell="A2" sqref="A2"/>
    </sheetView>
  </sheetViews>
  <sheetFormatPr defaultRowHeight="12" customHeight="1"/>
  <cols>
    <col min="1" max="1" width="6.109375" style="136" customWidth="1"/>
    <col min="2" max="2" width="3.88671875" style="136" customWidth="1"/>
    <col min="3" max="3" width="5.5546875" style="136" customWidth="1"/>
    <col min="4" max="4" width="44.44140625" style="132" customWidth="1"/>
    <col min="5" max="7" width="7.77734375" style="132" customWidth="1"/>
    <col min="8" max="9" width="7.77734375" style="133" customWidth="1"/>
    <col min="10" max="10" width="7.77734375" style="140" customWidth="1"/>
    <col min="11" max="11" width="5" style="127" customWidth="1"/>
    <col min="12" max="16384" width="8.88671875" style="127"/>
  </cols>
  <sheetData>
    <row r="1" spans="1:13" s="124" customFormat="1" ht="30" customHeight="1" thickBot="1">
      <c r="A1" s="328" t="s">
        <v>693</v>
      </c>
      <c r="B1" s="118"/>
      <c r="C1" s="118"/>
      <c r="D1" s="142"/>
      <c r="E1" s="118"/>
      <c r="F1" s="118"/>
      <c r="G1" s="118"/>
      <c r="H1" s="119"/>
      <c r="I1" s="119"/>
      <c r="J1" s="119"/>
      <c r="K1" s="122"/>
      <c r="L1" s="123"/>
      <c r="M1" s="123"/>
    </row>
    <row r="2" spans="1:13" s="181" customFormat="1" ht="39.950000000000003" customHeight="1">
      <c r="A2" s="589" t="s">
        <v>609</v>
      </c>
      <c r="B2" s="428" t="s">
        <v>564</v>
      </c>
      <c r="C2" s="428" t="s">
        <v>610</v>
      </c>
      <c r="D2" s="428" t="s">
        <v>611</v>
      </c>
      <c r="E2" s="427" t="s">
        <v>612</v>
      </c>
      <c r="F2" s="428" t="s">
        <v>613</v>
      </c>
      <c r="G2" s="429" t="s">
        <v>614</v>
      </c>
      <c r="H2" s="429" t="s">
        <v>615</v>
      </c>
      <c r="I2" s="429" t="s">
        <v>616</v>
      </c>
      <c r="J2" s="430" t="s">
        <v>617</v>
      </c>
      <c r="K2" s="590" t="s">
        <v>568</v>
      </c>
    </row>
    <row r="3" spans="1:13" s="264" customFormat="1" ht="30" customHeight="1">
      <c r="A3" s="580" t="s">
        <v>618</v>
      </c>
      <c r="B3" s="256">
        <v>1</v>
      </c>
      <c r="C3" s="256">
        <v>453</v>
      </c>
      <c r="D3" s="525" t="s">
        <v>651</v>
      </c>
      <c r="E3" s="257">
        <v>1</v>
      </c>
      <c r="F3" s="258">
        <v>488</v>
      </c>
      <c r="G3" s="259">
        <v>3</v>
      </c>
      <c r="H3" s="260">
        <f>IF(F3&gt;=2000,1,IF(F3&gt;=1800,0.9,IF(F3&gt;=1600,0.8,IF(F3&gt;=1400,0.7,IF(F3&gt;=1200,0.6,0)))))</f>
        <v>0</v>
      </c>
      <c r="I3" s="261">
        <f>IF(G3&gt;=5,1,IF(G3&gt;=4,0.9,IF(G3&gt;=3,0.8,IF(G3&gt;=2,0.7,IF(G3&gt;=1,0.6,0)))))</f>
        <v>0.8</v>
      </c>
      <c r="J3" s="262">
        <f>배점기준!$E$101*MAX(H3,I3)*E3</f>
        <v>0.8</v>
      </c>
      <c r="K3" s="263"/>
    </row>
    <row r="4" spans="1:13" s="264" customFormat="1" ht="30" customHeight="1">
      <c r="A4" s="580" t="s">
        <v>256</v>
      </c>
      <c r="B4" s="256">
        <v>2</v>
      </c>
      <c r="C4" s="256">
        <v>461</v>
      </c>
      <c r="D4" s="525" t="s">
        <v>652</v>
      </c>
      <c r="E4" s="257">
        <v>1</v>
      </c>
      <c r="F4" s="258">
        <v>273</v>
      </c>
      <c r="G4" s="259">
        <v>2</v>
      </c>
      <c r="H4" s="260">
        <f t="shared" ref="H4:H9" si="0">IF(F4&gt;=2000,1,IF(F4&gt;=1800,0.9,IF(F4&gt;=1600,0.8,IF(F4&gt;=1400,0.7,IF(F4&gt;=1200,0.6,0)))))</f>
        <v>0</v>
      </c>
      <c r="I4" s="261">
        <f t="shared" ref="I4:I9" si="1">IF(G4&gt;=5,1,IF(G4&gt;=4,0.9,IF(G4&gt;=3,0.8,IF(G4&gt;=2,0.7,IF(G4&gt;=1,0.6,0)))))</f>
        <v>0.7</v>
      </c>
      <c r="J4" s="262">
        <f>배점기준!$E$101*MAX(H4,I4)*E4</f>
        <v>0.7</v>
      </c>
      <c r="K4" s="263"/>
    </row>
    <row r="5" spans="1:13" s="195" customFormat="1" ht="30" customHeight="1">
      <c r="A5" s="580" t="s">
        <v>256</v>
      </c>
      <c r="B5" s="256">
        <v>3</v>
      </c>
      <c r="C5" s="256">
        <v>517</v>
      </c>
      <c r="D5" s="616" t="s">
        <v>450</v>
      </c>
      <c r="E5" s="257">
        <v>1</v>
      </c>
      <c r="F5" s="258">
        <v>2030</v>
      </c>
      <c r="G5" s="259">
        <v>5</v>
      </c>
      <c r="H5" s="260">
        <f t="shared" si="0"/>
        <v>1</v>
      </c>
      <c r="I5" s="261">
        <f t="shared" si="1"/>
        <v>1</v>
      </c>
      <c r="J5" s="262">
        <f>배점기준!$E$101*MAX(H5,I5)*E5</f>
        <v>1</v>
      </c>
      <c r="K5" s="263"/>
    </row>
    <row r="6" spans="1:13" s="195" customFormat="1" ht="30" customHeight="1">
      <c r="A6" s="580" t="s">
        <v>256</v>
      </c>
      <c r="B6" s="256">
        <v>4</v>
      </c>
      <c r="C6" s="256">
        <v>521</v>
      </c>
      <c r="D6" s="525" t="s">
        <v>653</v>
      </c>
      <c r="E6" s="257">
        <v>1</v>
      </c>
      <c r="F6" s="258">
        <v>24</v>
      </c>
      <c r="G6" s="259">
        <v>1</v>
      </c>
      <c r="H6" s="260">
        <f t="shared" si="0"/>
        <v>0</v>
      </c>
      <c r="I6" s="261">
        <f t="shared" si="1"/>
        <v>0.6</v>
      </c>
      <c r="J6" s="262">
        <f>배점기준!$E$101*MAX(H6,I6)*E6</f>
        <v>0.6</v>
      </c>
      <c r="K6" s="263"/>
    </row>
    <row r="7" spans="1:13" s="195" customFormat="1" ht="30" customHeight="1">
      <c r="A7" s="580" t="s">
        <v>256</v>
      </c>
      <c r="B7" s="256">
        <v>5</v>
      </c>
      <c r="C7" s="256">
        <v>553</v>
      </c>
      <c r="D7" s="525" t="s">
        <v>654</v>
      </c>
      <c r="E7" s="257">
        <v>1</v>
      </c>
      <c r="F7" s="258">
        <v>615</v>
      </c>
      <c r="G7" s="259">
        <v>2</v>
      </c>
      <c r="H7" s="260">
        <f t="shared" si="0"/>
        <v>0</v>
      </c>
      <c r="I7" s="261">
        <f t="shared" si="1"/>
        <v>0.7</v>
      </c>
      <c r="J7" s="262">
        <f>배점기준!$E$101*MAX(H7,I7)*E7</f>
        <v>0.7</v>
      </c>
      <c r="K7" s="263"/>
    </row>
    <row r="8" spans="1:13" s="264" customFormat="1" ht="30" customHeight="1">
      <c r="A8" s="580" t="s">
        <v>256</v>
      </c>
      <c r="B8" s="256">
        <v>6</v>
      </c>
      <c r="C8" s="256">
        <v>556</v>
      </c>
      <c r="D8" s="525" t="s">
        <v>448</v>
      </c>
      <c r="E8" s="257">
        <v>1</v>
      </c>
      <c r="F8" s="258">
        <v>593</v>
      </c>
      <c r="G8" s="259">
        <v>2</v>
      </c>
      <c r="H8" s="260">
        <f t="shared" si="0"/>
        <v>0</v>
      </c>
      <c r="I8" s="261">
        <f t="shared" si="1"/>
        <v>0.7</v>
      </c>
      <c r="J8" s="262">
        <f>배점기준!$E$101*MAX(H8,I8)*E8</f>
        <v>0.7</v>
      </c>
      <c r="K8" s="263"/>
    </row>
    <row r="9" spans="1:13" s="195" customFormat="1" ht="30" customHeight="1">
      <c r="A9" s="580" t="s">
        <v>256</v>
      </c>
      <c r="B9" s="256">
        <v>7</v>
      </c>
      <c r="C9" s="256">
        <v>582</v>
      </c>
      <c r="D9" s="525" t="s">
        <v>449</v>
      </c>
      <c r="E9" s="257">
        <v>1</v>
      </c>
      <c r="F9" s="258">
        <v>2851</v>
      </c>
      <c r="G9" s="259">
        <v>3</v>
      </c>
      <c r="H9" s="260">
        <f t="shared" si="0"/>
        <v>1</v>
      </c>
      <c r="I9" s="261">
        <f t="shared" si="1"/>
        <v>0.8</v>
      </c>
      <c r="J9" s="262">
        <f>배점기준!$E$101*MAX(H9,I9)*E9</f>
        <v>1</v>
      </c>
      <c r="K9" s="263"/>
    </row>
    <row r="10" spans="1:13" s="264" customFormat="1" ht="24.95" customHeight="1">
      <c r="A10" s="1143" t="s">
        <v>619</v>
      </c>
      <c r="B10" s="1144"/>
      <c r="C10" s="1144"/>
      <c r="D10" s="1144"/>
      <c r="E10" s="1144"/>
      <c r="F10" s="1144"/>
      <c r="G10" s="1144"/>
      <c r="H10" s="1144"/>
      <c r="I10" s="1145"/>
      <c r="J10" s="507">
        <f>SUM(J3:J9)</f>
        <v>5.5</v>
      </c>
      <c r="K10" s="263"/>
    </row>
    <row r="11" spans="1:13" s="264" customFormat="1" ht="24.95" customHeight="1">
      <c r="A11" s="580" t="s">
        <v>620</v>
      </c>
      <c r="B11" s="256"/>
      <c r="C11" s="256"/>
      <c r="D11" s="256"/>
      <c r="E11" s="257"/>
      <c r="F11" s="258"/>
      <c r="G11" s="258"/>
      <c r="H11" s="260"/>
      <c r="I11" s="261"/>
      <c r="J11" s="262"/>
      <c r="K11" s="263"/>
    </row>
    <row r="12" spans="1:13" s="264" customFormat="1" ht="24.95" customHeight="1">
      <c r="A12" s="1141" t="s">
        <v>621</v>
      </c>
      <c r="B12" s="1142"/>
      <c r="C12" s="1142"/>
      <c r="D12" s="1142"/>
      <c r="E12" s="1142"/>
      <c r="F12" s="1142"/>
      <c r="G12" s="1142"/>
      <c r="H12" s="1142"/>
      <c r="I12" s="1142"/>
      <c r="J12" s="507">
        <f>SUM(J11:J11)</f>
        <v>0</v>
      </c>
      <c r="K12" s="263"/>
    </row>
    <row r="13" spans="1:13" s="195" customFormat="1" ht="24.95" customHeight="1">
      <c r="A13" s="581" t="s">
        <v>216</v>
      </c>
      <c r="B13" s="256"/>
      <c r="C13" s="256"/>
      <c r="D13" s="256"/>
      <c r="E13" s="257"/>
      <c r="F13" s="258"/>
      <c r="G13" s="258"/>
      <c r="H13" s="260"/>
      <c r="I13" s="261"/>
      <c r="J13" s="262"/>
      <c r="K13" s="263"/>
    </row>
    <row r="14" spans="1:13" s="264" customFormat="1" ht="24.95" customHeight="1" thickBot="1">
      <c r="A14" s="1139" t="s">
        <v>259</v>
      </c>
      <c r="B14" s="1140"/>
      <c r="C14" s="1140"/>
      <c r="D14" s="1140"/>
      <c r="E14" s="1140"/>
      <c r="F14" s="1140"/>
      <c r="G14" s="1140"/>
      <c r="H14" s="1140"/>
      <c r="I14" s="1140"/>
      <c r="J14" s="508">
        <f>SUM(J13:J13)</f>
        <v>0</v>
      </c>
      <c r="K14" s="265"/>
    </row>
    <row r="15" spans="1:13" s="195" customFormat="1" ht="15" customHeight="1">
      <c r="A15" s="266"/>
      <c r="B15" s="266"/>
      <c r="C15" s="284"/>
      <c r="D15" s="267"/>
      <c r="E15" s="267"/>
      <c r="F15" s="267"/>
      <c r="G15" s="267"/>
      <c r="H15" s="268"/>
      <c r="I15" s="268"/>
      <c r="J15" s="268"/>
    </row>
    <row r="16" spans="1:13" s="195" customFormat="1" ht="15" customHeight="1">
      <c r="A16" s="269"/>
      <c r="B16" s="269"/>
      <c r="C16" s="282"/>
      <c r="D16" s="270"/>
      <c r="E16" s="270"/>
      <c r="F16" s="270"/>
      <c r="G16" s="270"/>
      <c r="H16" s="271"/>
      <c r="I16" s="271"/>
      <c r="J16" s="271"/>
    </row>
    <row r="17" spans="1:10" ht="15" customHeight="1">
      <c r="A17" s="131"/>
      <c r="B17" s="131"/>
      <c r="C17" s="283"/>
      <c r="J17" s="133"/>
    </row>
    <row r="18" spans="1:10" ht="15" customHeight="1">
      <c r="A18" s="131"/>
      <c r="B18" s="131"/>
      <c r="C18" s="283"/>
      <c r="J18" s="133"/>
    </row>
    <row r="19" spans="1:10" ht="15" customHeight="1">
      <c r="A19" s="131"/>
      <c r="B19" s="131"/>
      <c r="C19" s="283"/>
      <c r="J19" s="133"/>
    </row>
    <row r="20" spans="1:10" ht="15" customHeight="1">
      <c r="A20" s="131"/>
      <c r="B20" s="131"/>
      <c r="C20" s="283"/>
      <c r="J20" s="133"/>
    </row>
    <row r="21" spans="1:10" ht="15" customHeight="1">
      <c r="E21" s="137"/>
      <c r="F21" s="137"/>
      <c r="G21" s="137"/>
      <c r="H21" s="138"/>
      <c r="I21" s="138"/>
      <c r="J21" s="139"/>
    </row>
    <row r="22" spans="1:10" ht="15" customHeight="1">
      <c r="E22" s="137"/>
      <c r="F22" s="137"/>
      <c r="G22" s="137"/>
      <c r="H22" s="138"/>
      <c r="I22" s="138"/>
      <c r="J22" s="139"/>
    </row>
    <row r="23" spans="1:10" ht="15" customHeight="1">
      <c r="E23" s="137"/>
      <c r="F23" s="137"/>
      <c r="G23" s="137"/>
      <c r="H23" s="138"/>
      <c r="I23" s="138"/>
      <c r="J23" s="139"/>
    </row>
    <row r="24" spans="1:10" ht="15" customHeight="1">
      <c r="E24" s="137"/>
      <c r="F24" s="137"/>
      <c r="G24" s="137"/>
      <c r="H24" s="138"/>
      <c r="I24" s="138"/>
      <c r="J24" s="139"/>
    </row>
    <row r="25" spans="1:10" ht="15" customHeight="1">
      <c r="E25" s="137"/>
      <c r="F25" s="137"/>
      <c r="G25" s="137"/>
      <c r="H25" s="138"/>
      <c r="I25" s="138"/>
      <c r="J25" s="139"/>
    </row>
    <row r="26" spans="1:10" ht="12" customHeight="1">
      <c r="E26" s="137"/>
      <c r="F26" s="137"/>
      <c r="G26" s="137"/>
      <c r="H26" s="138"/>
      <c r="I26" s="138"/>
      <c r="J26" s="139"/>
    </row>
    <row r="27" spans="1:10" ht="12" customHeight="1">
      <c r="E27" s="137"/>
      <c r="F27" s="137"/>
      <c r="G27" s="137"/>
      <c r="H27" s="138"/>
      <c r="I27" s="138"/>
      <c r="J27" s="139"/>
    </row>
    <row r="28" spans="1:10" ht="12" customHeight="1">
      <c r="E28" s="137"/>
      <c r="F28" s="137"/>
      <c r="G28" s="137"/>
      <c r="H28" s="138"/>
      <c r="I28" s="138"/>
      <c r="J28" s="139"/>
    </row>
    <row r="29" spans="1:10" ht="12" customHeight="1">
      <c r="E29" s="137"/>
      <c r="F29" s="137"/>
      <c r="G29" s="137"/>
      <c r="H29" s="138"/>
      <c r="I29" s="138"/>
      <c r="J29" s="139"/>
    </row>
    <row r="30" spans="1:10" ht="12" customHeight="1">
      <c r="E30" s="137"/>
      <c r="F30" s="137"/>
      <c r="G30" s="137"/>
      <c r="H30" s="138"/>
      <c r="I30" s="138"/>
      <c r="J30" s="139"/>
    </row>
    <row r="31" spans="1:10" ht="12" customHeight="1">
      <c r="E31" s="137"/>
      <c r="F31" s="137"/>
      <c r="G31" s="137"/>
      <c r="H31" s="138"/>
      <c r="I31" s="138"/>
      <c r="J31" s="139"/>
    </row>
    <row r="32" spans="1:10" ht="12" customHeight="1">
      <c r="E32" s="137"/>
      <c r="F32" s="137"/>
      <c r="G32" s="137"/>
      <c r="H32" s="138"/>
      <c r="I32" s="138"/>
      <c r="J32" s="139"/>
    </row>
    <row r="33" spans="5:10" ht="12" customHeight="1">
      <c r="E33" s="137"/>
      <c r="F33" s="137"/>
      <c r="G33" s="137"/>
      <c r="H33" s="138"/>
      <c r="I33" s="138"/>
      <c r="J33" s="139"/>
    </row>
    <row r="34" spans="5:10" ht="12" customHeight="1">
      <c r="E34" s="137"/>
      <c r="F34" s="137"/>
      <c r="G34" s="137"/>
      <c r="H34" s="138"/>
      <c r="I34" s="138"/>
      <c r="J34" s="139"/>
    </row>
    <row r="35" spans="5:10" ht="12" customHeight="1">
      <c r="E35" s="137"/>
      <c r="F35" s="137"/>
      <c r="G35" s="137"/>
      <c r="H35" s="138"/>
      <c r="I35" s="138"/>
      <c r="J35" s="139"/>
    </row>
    <row r="36" spans="5:10" ht="12" customHeight="1">
      <c r="E36" s="137"/>
      <c r="F36" s="137"/>
      <c r="G36" s="137"/>
      <c r="H36" s="138"/>
      <c r="I36" s="138"/>
      <c r="J36" s="139"/>
    </row>
    <row r="37" spans="5:10" ht="12" customHeight="1">
      <c r="E37" s="137"/>
      <c r="F37" s="137"/>
      <c r="G37" s="137"/>
      <c r="H37" s="138"/>
      <c r="I37" s="138"/>
      <c r="J37" s="139"/>
    </row>
    <row r="38" spans="5:10" ht="12" customHeight="1">
      <c r="E38" s="137"/>
      <c r="F38" s="137"/>
      <c r="G38" s="137"/>
      <c r="H38" s="138"/>
      <c r="I38" s="138"/>
      <c r="J38" s="139"/>
    </row>
    <row r="39" spans="5:10" ht="12" customHeight="1">
      <c r="E39" s="137"/>
      <c r="F39" s="137"/>
      <c r="G39" s="137"/>
      <c r="H39" s="138"/>
      <c r="I39" s="138"/>
      <c r="J39" s="139"/>
    </row>
    <row r="40" spans="5:10" ht="12" customHeight="1">
      <c r="E40" s="137"/>
      <c r="F40" s="137"/>
      <c r="G40" s="137"/>
      <c r="H40" s="138"/>
      <c r="I40" s="138"/>
      <c r="J40" s="139"/>
    </row>
    <row r="41" spans="5:10" ht="12" customHeight="1">
      <c r="E41" s="137"/>
      <c r="F41" s="137"/>
      <c r="G41" s="137"/>
      <c r="H41" s="138"/>
      <c r="I41" s="138"/>
      <c r="J41" s="139"/>
    </row>
    <row r="42" spans="5:10" ht="12" customHeight="1">
      <c r="E42" s="137"/>
      <c r="F42" s="137"/>
      <c r="G42" s="137"/>
      <c r="H42" s="138"/>
      <c r="I42" s="138"/>
      <c r="J42" s="139"/>
    </row>
    <row r="43" spans="5:10" ht="12" customHeight="1">
      <c r="E43" s="137"/>
      <c r="F43" s="137"/>
      <c r="G43" s="137"/>
      <c r="H43" s="138"/>
      <c r="I43" s="138"/>
      <c r="J43" s="139"/>
    </row>
    <row r="44" spans="5:10" ht="12" customHeight="1">
      <c r="E44" s="137"/>
      <c r="F44" s="137"/>
      <c r="G44" s="137"/>
      <c r="H44" s="138"/>
      <c r="I44" s="138"/>
      <c r="J44" s="139"/>
    </row>
    <row r="45" spans="5:10" ht="12" customHeight="1">
      <c r="E45" s="137"/>
      <c r="F45" s="137"/>
      <c r="G45" s="137"/>
      <c r="H45" s="138"/>
      <c r="I45" s="138"/>
      <c r="J45" s="139"/>
    </row>
    <row r="46" spans="5:10" ht="12" customHeight="1">
      <c r="E46" s="137"/>
      <c r="F46" s="137"/>
      <c r="G46" s="137"/>
      <c r="H46" s="138"/>
      <c r="I46" s="138"/>
      <c r="J46" s="139"/>
    </row>
    <row r="47" spans="5:10" ht="12" customHeight="1">
      <c r="E47" s="137"/>
      <c r="F47" s="137"/>
      <c r="G47" s="137"/>
      <c r="H47" s="138"/>
      <c r="I47" s="138"/>
      <c r="J47" s="139"/>
    </row>
    <row r="48" spans="5:10" ht="12" customHeight="1">
      <c r="E48" s="137"/>
      <c r="F48" s="137"/>
      <c r="G48" s="137"/>
      <c r="H48" s="138"/>
      <c r="I48" s="138"/>
      <c r="J48" s="139"/>
    </row>
    <row r="49" spans="5:10" ht="12" customHeight="1">
      <c r="E49" s="137"/>
      <c r="F49" s="137"/>
      <c r="G49" s="137"/>
      <c r="H49" s="138"/>
      <c r="I49" s="138"/>
      <c r="J49" s="139"/>
    </row>
    <row r="50" spans="5:10" ht="12" customHeight="1">
      <c r="E50" s="137"/>
      <c r="F50" s="137"/>
      <c r="G50" s="137"/>
      <c r="H50" s="138"/>
      <c r="I50" s="138"/>
      <c r="J50" s="139"/>
    </row>
    <row r="51" spans="5:10" ht="12" customHeight="1">
      <c r="E51" s="137"/>
      <c r="F51" s="137"/>
      <c r="G51" s="137"/>
      <c r="H51" s="138"/>
      <c r="I51" s="138"/>
      <c r="J51" s="139"/>
    </row>
    <row r="52" spans="5:10" ht="12" customHeight="1">
      <c r="E52" s="137"/>
      <c r="F52" s="137"/>
      <c r="G52" s="137"/>
      <c r="H52" s="138"/>
      <c r="I52" s="138"/>
      <c r="J52" s="139"/>
    </row>
    <row r="53" spans="5:10" ht="12" customHeight="1">
      <c r="E53" s="137"/>
      <c r="F53" s="137"/>
      <c r="G53" s="137"/>
      <c r="H53" s="138"/>
      <c r="I53" s="138"/>
      <c r="J53" s="139"/>
    </row>
    <row r="54" spans="5:10" ht="12" customHeight="1">
      <c r="E54" s="137"/>
      <c r="F54" s="137"/>
      <c r="G54" s="137"/>
      <c r="H54" s="138"/>
      <c r="I54" s="138"/>
      <c r="J54" s="139"/>
    </row>
    <row r="55" spans="5:10" ht="12" customHeight="1">
      <c r="E55" s="137"/>
      <c r="F55" s="137"/>
      <c r="G55" s="137"/>
      <c r="H55" s="138"/>
      <c r="I55" s="138"/>
      <c r="J55" s="139"/>
    </row>
    <row r="56" spans="5:10" ht="12" customHeight="1">
      <c r="E56" s="137"/>
      <c r="F56" s="137"/>
      <c r="G56" s="137"/>
      <c r="H56" s="138"/>
      <c r="I56" s="138"/>
      <c r="J56" s="139"/>
    </row>
    <row r="57" spans="5:10" ht="12" customHeight="1">
      <c r="E57" s="137"/>
      <c r="F57" s="137"/>
      <c r="G57" s="137"/>
      <c r="H57" s="138"/>
      <c r="I57" s="138"/>
      <c r="J57" s="139"/>
    </row>
    <row r="58" spans="5:10" ht="12" customHeight="1">
      <c r="E58" s="137"/>
      <c r="F58" s="137"/>
      <c r="G58" s="137"/>
      <c r="H58" s="138"/>
      <c r="I58" s="138"/>
      <c r="J58" s="139"/>
    </row>
    <row r="59" spans="5:10" ht="12" customHeight="1">
      <c r="E59" s="137"/>
      <c r="F59" s="137"/>
      <c r="G59" s="137"/>
      <c r="H59" s="138"/>
      <c r="I59" s="138"/>
      <c r="J59" s="139"/>
    </row>
    <row r="60" spans="5:10" ht="12" customHeight="1">
      <c r="E60" s="137"/>
      <c r="F60" s="137"/>
      <c r="G60" s="137"/>
      <c r="H60" s="138"/>
      <c r="I60" s="138"/>
      <c r="J60" s="139"/>
    </row>
    <row r="61" spans="5:10" ht="12" customHeight="1">
      <c r="E61" s="137"/>
      <c r="F61" s="137"/>
      <c r="G61" s="137"/>
      <c r="H61" s="138"/>
      <c r="I61" s="138"/>
      <c r="J61" s="139"/>
    </row>
    <row r="62" spans="5:10" ht="12" customHeight="1">
      <c r="E62" s="137"/>
      <c r="F62" s="137"/>
      <c r="G62" s="137"/>
      <c r="H62" s="138"/>
      <c r="I62" s="138"/>
      <c r="J62" s="139"/>
    </row>
    <row r="63" spans="5:10" ht="12" customHeight="1">
      <c r="E63" s="137"/>
      <c r="F63" s="137"/>
      <c r="G63" s="137"/>
      <c r="H63" s="138"/>
      <c r="I63" s="138"/>
      <c r="J63" s="139"/>
    </row>
    <row r="64" spans="5:10" ht="12" customHeight="1">
      <c r="E64" s="137"/>
      <c r="F64" s="137"/>
      <c r="G64" s="137"/>
      <c r="H64" s="138"/>
      <c r="I64" s="138"/>
      <c r="J64" s="139"/>
    </row>
    <row r="65" spans="5:10" ht="12" customHeight="1">
      <c r="E65" s="137"/>
      <c r="F65" s="137"/>
      <c r="G65" s="137"/>
      <c r="H65" s="138"/>
      <c r="I65" s="138"/>
      <c r="J65" s="139"/>
    </row>
    <row r="66" spans="5:10" ht="12" customHeight="1">
      <c r="E66" s="137"/>
      <c r="F66" s="137"/>
      <c r="G66" s="137"/>
      <c r="H66" s="138"/>
      <c r="I66" s="138"/>
      <c r="J66" s="139"/>
    </row>
    <row r="67" spans="5:10" ht="12" customHeight="1">
      <c r="E67" s="137"/>
      <c r="F67" s="137"/>
      <c r="G67" s="137"/>
      <c r="H67" s="138"/>
      <c r="I67" s="138"/>
      <c r="J67" s="139"/>
    </row>
    <row r="68" spans="5:10" ht="12" customHeight="1">
      <c r="E68" s="137"/>
      <c r="F68" s="137"/>
      <c r="G68" s="137"/>
      <c r="H68" s="138"/>
      <c r="I68" s="138"/>
      <c r="J68" s="139"/>
    </row>
    <row r="69" spans="5:10" ht="12" customHeight="1">
      <c r="E69" s="137"/>
      <c r="F69" s="137"/>
      <c r="G69" s="137"/>
      <c r="H69" s="138"/>
      <c r="I69" s="138"/>
      <c r="J69" s="139"/>
    </row>
    <row r="70" spans="5:10" ht="12" customHeight="1">
      <c r="E70" s="137"/>
      <c r="F70" s="137"/>
      <c r="G70" s="137"/>
      <c r="H70" s="138"/>
      <c r="I70" s="138"/>
      <c r="J70" s="139"/>
    </row>
    <row r="71" spans="5:10" ht="12" customHeight="1">
      <c r="E71" s="137"/>
      <c r="F71" s="137"/>
      <c r="G71" s="137"/>
      <c r="H71" s="138"/>
      <c r="I71" s="138"/>
      <c r="J71" s="139"/>
    </row>
    <row r="72" spans="5:10" ht="12" customHeight="1">
      <c r="E72" s="137"/>
      <c r="F72" s="137"/>
      <c r="G72" s="137"/>
      <c r="H72" s="138"/>
      <c r="I72" s="138"/>
      <c r="J72" s="139"/>
    </row>
    <row r="73" spans="5:10" ht="12" customHeight="1">
      <c r="E73" s="137"/>
      <c r="F73" s="137"/>
      <c r="G73" s="137"/>
      <c r="H73" s="138"/>
      <c r="I73" s="138"/>
      <c r="J73" s="139"/>
    </row>
    <row r="74" spans="5:10" ht="12" customHeight="1">
      <c r="E74" s="137"/>
      <c r="F74" s="137"/>
      <c r="G74" s="137"/>
      <c r="H74" s="138"/>
      <c r="I74" s="138"/>
      <c r="J74" s="139"/>
    </row>
    <row r="75" spans="5:10" ht="12" customHeight="1">
      <c r="E75" s="137"/>
      <c r="F75" s="137"/>
      <c r="G75" s="137"/>
      <c r="H75" s="138"/>
      <c r="I75" s="138"/>
      <c r="J75" s="139"/>
    </row>
    <row r="76" spans="5:10" ht="12" customHeight="1">
      <c r="E76" s="137"/>
      <c r="F76" s="137"/>
      <c r="G76" s="137"/>
      <c r="H76" s="138"/>
      <c r="I76" s="138"/>
      <c r="J76" s="139"/>
    </row>
    <row r="77" spans="5:10" ht="12" customHeight="1">
      <c r="E77" s="137"/>
      <c r="F77" s="137"/>
      <c r="G77" s="137"/>
      <c r="H77" s="138"/>
      <c r="I77" s="138"/>
      <c r="J77" s="139"/>
    </row>
    <row r="78" spans="5:10" ht="12" customHeight="1">
      <c r="E78" s="137"/>
      <c r="F78" s="137"/>
      <c r="G78" s="137"/>
      <c r="H78" s="138"/>
      <c r="I78" s="138"/>
      <c r="J78" s="139"/>
    </row>
    <row r="79" spans="5:10" ht="12" customHeight="1">
      <c r="E79" s="137"/>
      <c r="F79" s="137"/>
      <c r="G79" s="137"/>
      <c r="H79" s="138"/>
      <c r="I79" s="138"/>
      <c r="J79" s="139"/>
    </row>
    <row r="80" spans="5:10" ht="12" customHeight="1">
      <c r="E80" s="137"/>
      <c r="F80" s="137"/>
      <c r="G80" s="137"/>
      <c r="H80" s="138"/>
      <c r="I80" s="138"/>
      <c r="J80" s="139"/>
    </row>
    <row r="81" spans="5:10" ht="12" customHeight="1">
      <c r="E81" s="137"/>
      <c r="F81" s="137"/>
      <c r="G81" s="137"/>
      <c r="H81" s="138"/>
      <c r="I81" s="138"/>
      <c r="J81" s="139"/>
    </row>
    <row r="82" spans="5:10" ht="12" customHeight="1">
      <c r="E82" s="137"/>
      <c r="F82" s="137"/>
      <c r="G82" s="137"/>
      <c r="H82" s="138"/>
      <c r="I82" s="138"/>
      <c r="J82" s="139"/>
    </row>
    <row r="83" spans="5:10" ht="12" customHeight="1">
      <c r="E83" s="137"/>
      <c r="F83" s="137"/>
      <c r="G83" s="137"/>
      <c r="H83" s="138"/>
      <c r="I83" s="138"/>
      <c r="J83" s="139"/>
    </row>
    <row r="84" spans="5:10" ht="12" customHeight="1">
      <c r="E84" s="137"/>
      <c r="F84" s="137"/>
      <c r="G84" s="137"/>
      <c r="H84" s="138"/>
      <c r="I84" s="138"/>
      <c r="J84" s="139"/>
    </row>
    <row r="85" spans="5:10" ht="12" customHeight="1">
      <c r="E85" s="137"/>
      <c r="F85" s="137"/>
      <c r="G85" s="137"/>
      <c r="H85" s="138"/>
      <c r="I85" s="138"/>
      <c r="J85" s="139"/>
    </row>
    <row r="86" spans="5:10" ht="12" customHeight="1">
      <c r="E86" s="137"/>
      <c r="F86" s="137"/>
      <c r="G86" s="137"/>
      <c r="H86" s="138"/>
      <c r="I86" s="138"/>
      <c r="J86" s="139"/>
    </row>
    <row r="87" spans="5:10" ht="12" customHeight="1">
      <c r="E87" s="137"/>
      <c r="F87" s="137"/>
      <c r="G87" s="137"/>
      <c r="H87" s="138"/>
      <c r="I87" s="138"/>
      <c r="J87" s="139"/>
    </row>
    <row r="88" spans="5:10" ht="12" customHeight="1">
      <c r="E88" s="137"/>
      <c r="F88" s="137"/>
      <c r="G88" s="137"/>
      <c r="H88" s="138"/>
      <c r="I88" s="138"/>
      <c r="J88" s="139"/>
    </row>
    <row r="89" spans="5:10" ht="12" customHeight="1">
      <c r="E89" s="137"/>
      <c r="F89" s="137"/>
      <c r="G89" s="137"/>
      <c r="H89" s="138"/>
      <c r="I89" s="138"/>
      <c r="J89" s="139"/>
    </row>
    <row r="90" spans="5:10" ht="12" customHeight="1">
      <c r="E90" s="137"/>
      <c r="F90" s="137"/>
      <c r="G90" s="137"/>
      <c r="H90" s="138"/>
      <c r="I90" s="138"/>
      <c r="J90" s="139"/>
    </row>
    <row r="91" spans="5:10" ht="12" customHeight="1">
      <c r="E91" s="137"/>
      <c r="F91" s="137"/>
      <c r="G91" s="137"/>
      <c r="H91" s="138"/>
      <c r="I91" s="138"/>
      <c r="J91" s="139"/>
    </row>
    <row r="92" spans="5:10" ht="12" customHeight="1">
      <c r="E92" s="137"/>
      <c r="F92" s="137"/>
      <c r="G92" s="137"/>
      <c r="H92" s="138"/>
      <c r="I92" s="138"/>
      <c r="J92" s="139"/>
    </row>
    <row r="93" spans="5:10" ht="12" customHeight="1">
      <c r="E93" s="137"/>
      <c r="F93" s="137"/>
      <c r="G93" s="137"/>
      <c r="H93" s="138"/>
      <c r="I93" s="138"/>
      <c r="J93" s="139"/>
    </row>
    <row r="94" spans="5:10" ht="12" customHeight="1">
      <c r="E94" s="137"/>
      <c r="F94" s="137"/>
      <c r="G94" s="137"/>
      <c r="H94" s="138"/>
      <c r="I94" s="138"/>
      <c r="J94" s="139"/>
    </row>
    <row r="95" spans="5:10" ht="12" customHeight="1">
      <c r="E95" s="137"/>
      <c r="F95" s="137"/>
      <c r="G95" s="137"/>
      <c r="H95" s="138"/>
      <c r="I95" s="138"/>
      <c r="J95" s="139"/>
    </row>
    <row r="96" spans="5:10" ht="12" customHeight="1">
      <c r="E96" s="137"/>
      <c r="F96" s="137"/>
      <c r="G96" s="137"/>
      <c r="H96" s="138"/>
      <c r="I96" s="138"/>
      <c r="J96" s="139"/>
    </row>
    <row r="97" spans="5:10" ht="12" customHeight="1">
      <c r="E97" s="137"/>
      <c r="F97" s="137"/>
      <c r="G97" s="137"/>
      <c r="H97" s="138"/>
      <c r="I97" s="138"/>
      <c r="J97" s="139"/>
    </row>
    <row r="98" spans="5:10" ht="12" customHeight="1">
      <c r="E98" s="137"/>
      <c r="F98" s="137"/>
      <c r="G98" s="137"/>
      <c r="H98" s="138"/>
      <c r="I98" s="138"/>
      <c r="J98" s="139"/>
    </row>
    <row r="99" spans="5:10" ht="12" customHeight="1">
      <c r="E99" s="137"/>
      <c r="F99" s="137"/>
      <c r="G99" s="137"/>
      <c r="H99" s="138"/>
      <c r="I99" s="138"/>
      <c r="J99" s="139"/>
    </row>
    <row r="100" spans="5:10" ht="12" customHeight="1">
      <c r="E100" s="137"/>
      <c r="F100" s="137"/>
      <c r="G100" s="137"/>
      <c r="H100" s="138"/>
      <c r="I100" s="138"/>
      <c r="J100" s="139"/>
    </row>
    <row r="101" spans="5:10" ht="12" customHeight="1">
      <c r="E101" s="137"/>
      <c r="F101" s="137"/>
      <c r="G101" s="137"/>
      <c r="H101" s="138"/>
      <c r="I101" s="138"/>
      <c r="J101" s="139"/>
    </row>
    <row r="102" spans="5:10" ht="12" customHeight="1">
      <c r="E102" s="137"/>
      <c r="F102" s="137"/>
      <c r="G102" s="137"/>
      <c r="H102" s="138"/>
      <c r="I102" s="138"/>
      <c r="J102" s="139"/>
    </row>
    <row r="103" spans="5:10" ht="12" customHeight="1">
      <c r="E103" s="137"/>
      <c r="F103" s="137"/>
      <c r="G103" s="137"/>
      <c r="H103" s="138"/>
      <c r="I103" s="138"/>
      <c r="J103" s="139"/>
    </row>
    <row r="104" spans="5:10" ht="12" customHeight="1">
      <c r="E104" s="137"/>
      <c r="F104" s="137"/>
      <c r="G104" s="137"/>
      <c r="H104" s="138"/>
      <c r="I104" s="138"/>
      <c r="J104" s="139"/>
    </row>
    <row r="105" spans="5:10" ht="12" customHeight="1">
      <c r="E105" s="137"/>
      <c r="F105" s="137"/>
      <c r="G105" s="137"/>
      <c r="H105" s="138"/>
      <c r="I105" s="138"/>
      <c r="J105" s="139"/>
    </row>
    <row r="106" spans="5:10" ht="12" customHeight="1">
      <c r="E106" s="137"/>
      <c r="F106" s="137"/>
      <c r="G106" s="137"/>
      <c r="H106" s="138"/>
      <c r="I106" s="138"/>
      <c r="J106" s="139"/>
    </row>
    <row r="107" spans="5:10" ht="12" customHeight="1">
      <c r="E107" s="137"/>
      <c r="F107" s="137"/>
      <c r="G107" s="137"/>
      <c r="H107" s="138"/>
      <c r="I107" s="138"/>
      <c r="J107" s="139"/>
    </row>
    <row r="108" spans="5:10" ht="12" customHeight="1">
      <c r="E108" s="137"/>
      <c r="F108" s="137"/>
      <c r="G108" s="137"/>
      <c r="H108" s="138"/>
      <c r="I108" s="138"/>
      <c r="J108" s="139"/>
    </row>
    <row r="109" spans="5:10" ht="12" customHeight="1">
      <c r="E109" s="137"/>
      <c r="F109" s="137"/>
      <c r="G109" s="137"/>
      <c r="H109" s="138"/>
      <c r="I109" s="138"/>
      <c r="J109" s="139"/>
    </row>
    <row r="110" spans="5:10" ht="12" customHeight="1">
      <c r="E110" s="137"/>
      <c r="F110" s="137"/>
      <c r="G110" s="137"/>
      <c r="H110" s="138"/>
      <c r="I110" s="138"/>
      <c r="J110" s="139"/>
    </row>
    <row r="111" spans="5:10" ht="12" customHeight="1">
      <c r="E111" s="137"/>
      <c r="F111" s="137"/>
      <c r="G111" s="137"/>
      <c r="H111" s="138"/>
      <c r="I111" s="138"/>
      <c r="J111" s="139"/>
    </row>
    <row r="112" spans="5:10" ht="12" customHeight="1">
      <c r="E112" s="137"/>
      <c r="F112" s="137"/>
      <c r="G112" s="137"/>
      <c r="H112" s="138"/>
      <c r="I112" s="138"/>
      <c r="J112" s="139"/>
    </row>
    <row r="113" spans="5:10" ht="12" customHeight="1">
      <c r="E113" s="137"/>
      <c r="F113" s="137"/>
      <c r="G113" s="137"/>
      <c r="H113" s="138"/>
      <c r="I113" s="138"/>
      <c r="J113" s="139"/>
    </row>
    <row r="114" spans="5:10" ht="12" customHeight="1">
      <c r="E114" s="137"/>
      <c r="F114" s="137"/>
      <c r="G114" s="137"/>
      <c r="H114" s="138"/>
      <c r="I114" s="138"/>
      <c r="J114" s="139"/>
    </row>
    <row r="115" spans="5:10" ht="12" customHeight="1">
      <c r="E115" s="137"/>
      <c r="F115" s="137"/>
      <c r="G115" s="137"/>
      <c r="H115" s="138"/>
      <c r="I115" s="138"/>
      <c r="J115" s="139"/>
    </row>
    <row r="116" spans="5:10" ht="12" customHeight="1">
      <c r="E116" s="137"/>
      <c r="F116" s="137"/>
      <c r="G116" s="137"/>
      <c r="H116" s="138"/>
      <c r="I116" s="138"/>
      <c r="J116" s="139"/>
    </row>
    <row r="117" spans="5:10" ht="12" customHeight="1">
      <c r="E117" s="137"/>
      <c r="F117" s="137"/>
      <c r="G117" s="137"/>
      <c r="H117" s="138"/>
      <c r="I117" s="138"/>
      <c r="J117" s="139"/>
    </row>
    <row r="118" spans="5:10" ht="12" customHeight="1">
      <c r="E118" s="137"/>
      <c r="F118" s="137"/>
      <c r="G118" s="137"/>
      <c r="H118" s="138"/>
      <c r="I118" s="138"/>
      <c r="J118" s="139"/>
    </row>
    <row r="119" spans="5:10" ht="12" customHeight="1">
      <c r="E119" s="137"/>
      <c r="F119" s="137"/>
      <c r="G119" s="137"/>
      <c r="H119" s="138"/>
      <c r="I119" s="138"/>
      <c r="J119" s="139"/>
    </row>
    <row r="120" spans="5:10" ht="12" customHeight="1">
      <c r="E120" s="137"/>
      <c r="F120" s="137"/>
      <c r="G120" s="137"/>
      <c r="H120" s="138"/>
      <c r="I120" s="138"/>
      <c r="J120" s="139"/>
    </row>
    <row r="121" spans="5:10" ht="12" customHeight="1">
      <c r="E121" s="137"/>
      <c r="F121" s="137"/>
      <c r="G121" s="137"/>
      <c r="H121" s="138"/>
      <c r="I121" s="138"/>
      <c r="J121" s="139"/>
    </row>
    <row r="122" spans="5:10" ht="12" customHeight="1">
      <c r="E122" s="137"/>
      <c r="F122" s="137"/>
      <c r="G122" s="137"/>
      <c r="H122" s="138"/>
      <c r="I122" s="138"/>
      <c r="J122" s="139"/>
    </row>
    <row r="123" spans="5:10" ht="12" customHeight="1">
      <c r="E123" s="137"/>
      <c r="F123" s="137"/>
      <c r="G123" s="137"/>
      <c r="H123" s="138"/>
      <c r="I123" s="138"/>
      <c r="J123" s="139"/>
    </row>
    <row r="124" spans="5:10" ht="12" customHeight="1">
      <c r="E124" s="137"/>
      <c r="F124" s="137"/>
      <c r="G124" s="137"/>
      <c r="H124" s="138"/>
      <c r="I124" s="138"/>
      <c r="J124" s="139"/>
    </row>
    <row r="125" spans="5:10" ht="12" customHeight="1">
      <c r="E125" s="137"/>
      <c r="F125" s="137"/>
      <c r="G125" s="137"/>
      <c r="H125" s="138"/>
      <c r="I125" s="138"/>
      <c r="J125" s="139"/>
    </row>
  </sheetData>
  <mergeCells count="3">
    <mergeCell ref="A10:I10"/>
    <mergeCell ref="A12:I12"/>
    <mergeCell ref="A14:I14"/>
  </mergeCells>
  <phoneticPr fontId="2" type="noConversion"/>
  <pageMargins left="0.74803149606299213" right="0.74803149606299213" top="0.95" bottom="0.78740157480314965" header="0.51181102362204722" footer="0.51181102362204722"/>
  <pageSetup paperSize="9" fitToHeight="3" orientation="landscape" r:id="rId1"/>
  <headerFooter alignWithMargins="0"/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41"/>
    <pageSetUpPr fitToPage="1"/>
  </sheetPr>
  <dimension ref="A1:P127"/>
  <sheetViews>
    <sheetView view="pageBreakPreview" zoomScaleNormal="115" workbookViewId="0">
      <selection activeCell="A2" sqref="A2"/>
    </sheetView>
  </sheetViews>
  <sheetFormatPr defaultRowHeight="12" customHeight="1"/>
  <cols>
    <col min="1" max="1" width="6.6640625" style="136" customWidth="1"/>
    <col min="2" max="2" width="3.88671875" style="136" customWidth="1"/>
    <col min="3" max="3" width="5.5546875" style="136" customWidth="1"/>
    <col min="4" max="4" width="44.44140625" style="132" customWidth="1"/>
    <col min="5" max="7" width="7.77734375" style="132" customWidth="1"/>
    <col min="8" max="9" width="7.77734375" style="133" customWidth="1"/>
    <col min="10" max="10" width="7.77734375" style="140" customWidth="1"/>
    <col min="11" max="11" width="5" style="127" customWidth="1"/>
    <col min="12" max="16384" width="8.88671875" style="127"/>
  </cols>
  <sheetData>
    <row r="1" spans="1:13" s="124" customFormat="1" ht="30" customHeight="1" thickBot="1">
      <c r="A1" s="328" t="s">
        <v>692</v>
      </c>
      <c r="B1" s="118"/>
      <c r="C1" s="118"/>
      <c r="D1" s="142"/>
      <c r="E1" s="118"/>
      <c r="F1" s="118"/>
      <c r="G1" s="118"/>
      <c r="H1" s="119"/>
      <c r="I1" s="119"/>
      <c r="J1" s="119"/>
      <c r="K1" s="122"/>
      <c r="L1" s="123"/>
      <c r="M1" s="123"/>
    </row>
    <row r="2" spans="1:13" s="181" customFormat="1" ht="39.950000000000003" customHeight="1">
      <c r="A2" s="432" t="s">
        <v>251</v>
      </c>
      <c r="B2" s="426" t="s">
        <v>205</v>
      </c>
      <c r="C2" s="426" t="s">
        <v>273</v>
      </c>
      <c r="D2" s="426" t="s">
        <v>252</v>
      </c>
      <c r="E2" s="427" t="s">
        <v>253</v>
      </c>
      <c r="F2" s="428" t="s">
        <v>254</v>
      </c>
      <c r="G2" s="429" t="s">
        <v>221</v>
      </c>
      <c r="H2" s="429" t="s">
        <v>219</v>
      </c>
      <c r="I2" s="429" t="s">
        <v>220</v>
      </c>
      <c r="J2" s="430" t="s">
        <v>255</v>
      </c>
      <c r="K2" s="431" t="s">
        <v>206</v>
      </c>
    </row>
    <row r="3" spans="1:13" s="264" customFormat="1" ht="30" customHeight="1">
      <c r="A3" s="580" t="s">
        <v>496</v>
      </c>
      <c r="B3" s="256">
        <v>1</v>
      </c>
      <c r="C3" s="256">
        <v>453</v>
      </c>
      <c r="D3" s="525" t="s">
        <v>549</v>
      </c>
      <c r="E3" s="257">
        <v>1</v>
      </c>
      <c r="F3" s="258">
        <v>350</v>
      </c>
      <c r="G3" s="259">
        <v>1</v>
      </c>
      <c r="H3" s="260">
        <f t="shared" ref="H3:H11" si="0">IF(F3&gt;=2000,1,IF(F3&gt;=1800,0.9,IF(F3&gt;=1600,0.8,IF(F3&gt;=1400,0.7,IF(F3&gt;=1200,0.6,0)))))</f>
        <v>0</v>
      </c>
      <c r="I3" s="261">
        <f t="shared" ref="I3:I11" si="1">IF(G3&gt;=5,1,IF(G3&gt;=4,0.9,IF(G3&gt;=3,0.8,IF(G3&gt;=2,0.7,IF(G3&gt;=1,0.6,0)))))</f>
        <v>0.6</v>
      </c>
      <c r="J3" s="262">
        <f>배점기준!$E$101*MAX(H3,I3)*E3</f>
        <v>0.6</v>
      </c>
      <c r="K3" s="263"/>
    </row>
    <row r="4" spans="1:13" s="264" customFormat="1" ht="30" customHeight="1">
      <c r="A4" s="580" t="s">
        <v>496</v>
      </c>
      <c r="B4" s="256">
        <v>2</v>
      </c>
      <c r="C4" s="256">
        <v>461</v>
      </c>
      <c r="D4" s="525" t="s">
        <v>550</v>
      </c>
      <c r="E4" s="257">
        <v>1</v>
      </c>
      <c r="F4" s="258">
        <v>330</v>
      </c>
      <c r="G4" s="259">
        <v>1</v>
      </c>
      <c r="H4" s="260">
        <f t="shared" si="0"/>
        <v>0</v>
      </c>
      <c r="I4" s="261">
        <f t="shared" si="1"/>
        <v>0.6</v>
      </c>
      <c r="J4" s="262">
        <f>배점기준!$E$101*MAX(H4,I4)*E4</f>
        <v>0.6</v>
      </c>
      <c r="K4" s="263"/>
    </row>
    <row r="5" spans="1:13" s="195" customFormat="1" ht="30" customHeight="1">
      <c r="A5" s="580" t="s">
        <v>496</v>
      </c>
      <c r="B5" s="256">
        <v>4</v>
      </c>
      <c r="C5" s="256">
        <v>513</v>
      </c>
      <c r="D5" s="525" t="s">
        <v>551</v>
      </c>
      <c r="E5" s="257">
        <v>1</v>
      </c>
      <c r="F5" s="258">
        <v>920</v>
      </c>
      <c r="G5" s="259">
        <v>1</v>
      </c>
      <c r="H5" s="260">
        <f t="shared" si="0"/>
        <v>0</v>
      </c>
      <c r="I5" s="261">
        <f t="shared" si="1"/>
        <v>0.6</v>
      </c>
      <c r="J5" s="262">
        <f>배점기준!$E$101*MAX(H5,I5)*E5</f>
        <v>0.6</v>
      </c>
      <c r="K5" s="263"/>
    </row>
    <row r="6" spans="1:13" s="264" customFormat="1" ht="30" customHeight="1">
      <c r="A6" s="580" t="s">
        <v>496</v>
      </c>
      <c r="B6" s="256">
        <v>5</v>
      </c>
      <c r="C6" s="256">
        <v>517</v>
      </c>
      <c r="D6" s="525" t="s">
        <v>552</v>
      </c>
      <c r="E6" s="257">
        <v>1</v>
      </c>
      <c r="F6" s="258">
        <v>2264</v>
      </c>
      <c r="G6" s="259">
        <v>3</v>
      </c>
      <c r="H6" s="260">
        <f>IF(F6&gt;=2000,1,IF(F6&gt;=1800,0.9,IF(F6&gt;=1600,0.8,IF(F6&gt;=1400,0.7,IF(F6&gt;=1200,0.6,0)))))</f>
        <v>1</v>
      </c>
      <c r="I6" s="261">
        <f>IF(G6&gt;=5,1,IF(G6&gt;=4,0.9,IF(G6&gt;=3,0.8,IF(G6&gt;=2,0.7,IF(G6&gt;=1,0.6,0)))))</f>
        <v>0.8</v>
      </c>
      <c r="J6" s="262">
        <f>배점기준!$E$101*MAX(H6,I6)*E6</f>
        <v>1</v>
      </c>
      <c r="K6" s="263"/>
    </row>
    <row r="7" spans="1:13" s="264" customFormat="1" ht="30" customHeight="1">
      <c r="A7" s="580" t="s">
        <v>496</v>
      </c>
      <c r="B7" s="256">
        <v>6</v>
      </c>
      <c r="C7" s="256">
        <v>518</v>
      </c>
      <c r="D7" s="525" t="s">
        <v>553</v>
      </c>
      <c r="E7" s="257">
        <v>1</v>
      </c>
      <c r="F7" s="258">
        <v>455</v>
      </c>
      <c r="G7" s="259">
        <v>1</v>
      </c>
      <c r="H7" s="260">
        <f t="shared" si="0"/>
        <v>0</v>
      </c>
      <c r="I7" s="261">
        <f t="shared" si="1"/>
        <v>0.6</v>
      </c>
      <c r="J7" s="262">
        <f>배점기준!$E$101*MAX(H7,I7)*E7</f>
        <v>0.6</v>
      </c>
      <c r="K7" s="263"/>
    </row>
    <row r="8" spans="1:13" s="195" customFormat="1" ht="30" customHeight="1">
      <c r="A8" s="580" t="s">
        <v>496</v>
      </c>
      <c r="B8" s="256">
        <v>7</v>
      </c>
      <c r="C8" s="256">
        <v>553</v>
      </c>
      <c r="D8" s="525" t="s">
        <v>554</v>
      </c>
      <c r="E8" s="257">
        <v>1</v>
      </c>
      <c r="F8" s="258">
        <v>22</v>
      </c>
      <c r="G8" s="259">
        <v>1</v>
      </c>
      <c r="H8" s="260">
        <f t="shared" si="0"/>
        <v>0</v>
      </c>
      <c r="I8" s="261">
        <f t="shared" si="1"/>
        <v>0.6</v>
      </c>
      <c r="J8" s="262">
        <f>배점기준!$E$101*MAX(H8,I8)*E8</f>
        <v>0.6</v>
      </c>
      <c r="K8" s="263"/>
    </row>
    <row r="9" spans="1:13" s="195" customFormat="1" ht="30" customHeight="1">
      <c r="A9" s="599" t="s">
        <v>496</v>
      </c>
      <c r="B9" s="571">
        <v>8</v>
      </c>
      <c r="C9" s="571">
        <v>561</v>
      </c>
      <c r="D9" s="523" t="s">
        <v>555</v>
      </c>
      <c r="E9" s="573">
        <v>1</v>
      </c>
      <c r="F9" s="574">
        <v>1396</v>
      </c>
      <c r="G9" s="575">
        <v>2</v>
      </c>
      <c r="H9" s="576">
        <f t="shared" si="0"/>
        <v>0.6</v>
      </c>
      <c r="I9" s="577">
        <f t="shared" si="1"/>
        <v>0.7</v>
      </c>
      <c r="J9" s="578">
        <f>배점기준!$E$101*MAX(H9,I9)*E9</f>
        <v>0.7</v>
      </c>
      <c r="K9" s="579"/>
    </row>
    <row r="10" spans="1:13" s="195" customFormat="1" ht="30" customHeight="1">
      <c r="A10" s="580" t="s">
        <v>496</v>
      </c>
      <c r="B10" s="256">
        <v>9</v>
      </c>
      <c r="C10" s="256">
        <v>582</v>
      </c>
      <c r="D10" s="525" t="s">
        <v>556</v>
      </c>
      <c r="E10" s="257">
        <v>1</v>
      </c>
      <c r="F10" s="258">
        <v>558</v>
      </c>
      <c r="G10" s="259">
        <v>1</v>
      </c>
      <c r="H10" s="260">
        <f>IF(F10&gt;=2000,1,IF(F10&gt;=1800,0.9,IF(F10&gt;=1600,0.8,IF(F10&gt;=1400,0.7,IF(F10&gt;=1200,0.6,0)))))</f>
        <v>0</v>
      </c>
      <c r="I10" s="261">
        <f t="shared" si="1"/>
        <v>0.6</v>
      </c>
      <c r="J10" s="262">
        <f>배점기준!$E$101*MAX(H10,I10)*E10</f>
        <v>0.6</v>
      </c>
      <c r="K10" s="263"/>
    </row>
    <row r="11" spans="1:13" s="195" customFormat="1" ht="30" customHeight="1">
      <c r="A11" s="580" t="s">
        <v>496</v>
      </c>
      <c r="B11" s="256">
        <v>10</v>
      </c>
      <c r="C11" s="256">
        <v>597</v>
      </c>
      <c r="D11" s="525" t="s">
        <v>557</v>
      </c>
      <c r="E11" s="257">
        <v>1</v>
      </c>
      <c r="F11" s="258">
        <v>9</v>
      </c>
      <c r="G11" s="259">
        <v>1</v>
      </c>
      <c r="H11" s="260">
        <f t="shared" si="0"/>
        <v>0</v>
      </c>
      <c r="I11" s="261">
        <f t="shared" si="1"/>
        <v>0.6</v>
      </c>
      <c r="J11" s="262">
        <f>배점기준!$E$101*MAX(H11,I11)*E11</f>
        <v>0.6</v>
      </c>
      <c r="K11" s="263"/>
    </row>
    <row r="12" spans="1:13" s="264" customFormat="1" ht="24.95" customHeight="1">
      <c r="A12" s="1143" t="s">
        <v>214</v>
      </c>
      <c r="B12" s="1144"/>
      <c r="C12" s="1144"/>
      <c r="D12" s="1144"/>
      <c r="E12" s="1144"/>
      <c r="F12" s="1144"/>
      <c r="G12" s="1144"/>
      <c r="H12" s="1144"/>
      <c r="I12" s="1145"/>
      <c r="J12" s="507">
        <f>SUM(J3:J11)</f>
        <v>5.8999999999999995</v>
      </c>
      <c r="K12" s="263"/>
    </row>
    <row r="13" spans="1:13" s="264" customFormat="1" ht="30" customHeight="1">
      <c r="A13" s="580" t="s">
        <v>257</v>
      </c>
      <c r="B13" s="256"/>
      <c r="C13" s="256"/>
      <c r="D13" s="256"/>
      <c r="E13" s="257"/>
      <c r="F13" s="258"/>
      <c r="G13" s="258"/>
      <c r="H13" s="260"/>
      <c r="I13" s="261"/>
      <c r="J13" s="262"/>
      <c r="K13" s="263"/>
    </row>
    <row r="14" spans="1:13" s="264" customFormat="1" ht="24.95" customHeight="1">
      <c r="A14" s="1141" t="s">
        <v>258</v>
      </c>
      <c r="B14" s="1142"/>
      <c r="C14" s="1142"/>
      <c r="D14" s="1142"/>
      <c r="E14" s="1142"/>
      <c r="F14" s="1142"/>
      <c r="G14" s="1142"/>
      <c r="H14" s="1142"/>
      <c r="I14" s="1142"/>
      <c r="J14" s="507">
        <f>SUM(J13:J13)</f>
        <v>0</v>
      </c>
      <c r="K14" s="263"/>
    </row>
    <row r="15" spans="1:13" s="264" customFormat="1" ht="30" customHeight="1">
      <c r="A15" s="581" t="s">
        <v>642</v>
      </c>
      <c r="B15" s="256"/>
      <c r="C15" s="256"/>
      <c r="D15" s="256"/>
      <c r="E15" s="257"/>
      <c r="F15" s="258"/>
      <c r="G15" s="258"/>
      <c r="H15" s="260"/>
      <c r="I15" s="261"/>
      <c r="J15" s="262"/>
      <c r="K15" s="263"/>
    </row>
    <row r="16" spans="1:13" s="264" customFormat="1" ht="24.95" customHeight="1" thickBot="1">
      <c r="A16" s="1139" t="s">
        <v>259</v>
      </c>
      <c r="B16" s="1140"/>
      <c r="C16" s="1140"/>
      <c r="D16" s="1140"/>
      <c r="E16" s="1140"/>
      <c r="F16" s="1140"/>
      <c r="G16" s="1140"/>
      <c r="H16" s="1140"/>
      <c r="I16" s="1140"/>
      <c r="J16" s="508">
        <f>SUM(J15:J15)</f>
        <v>0</v>
      </c>
      <c r="K16" s="265"/>
    </row>
    <row r="17" spans="1:16" s="195" customFormat="1" ht="15" customHeight="1">
      <c r="A17" s="266"/>
      <c r="B17" s="266"/>
      <c r="C17" s="284"/>
      <c r="D17" s="267"/>
      <c r="E17" s="267"/>
      <c r="F17" s="267"/>
      <c r="G17" s="267"/>
      <c r="H17" s="268"/>
      <c r="I17" s="268"/>
      <c r="J17" s="268"/>
    </row>
    <row r="18" spans="1:16" s="195" customFormat="1" ht="15" customHeight="1">
      <c r="A18" s="269"/>
      <c r="B18" s="269"/>
      <c r="C18" s="282"/>
      <c r="D18" s="270"/>
      <c r="E18" s="270"/>
      <c r="F18" s="270"/>
      <c r="G18" s="270"/>
      <c r="H18" s="271"/>
      <c r="I18" s="271"/>
      <c r="J18" s="271"/>
    </row>
    <row r="19" spans="1:16" ht="15" customHeight="1">
      <c r="A19" s="131"/>
      <c r="B19" s="131"/>
      <c r="C19" s="283"/>
      <c r="J19" s="133"/>
    </row>
    <row r="20" spans="1:16" ht="15" customHeight="1">
      <c r="A20" s="131"/>
      <c r="B20" s="131"/>
      <c r="C20" s="283"/>
      <c r="J20" s="133"/>
    </row>
    <row r="21" spans="1:16" ht="15" customHeight="1">
      <c r="A21" s="131"/>
      <c r="B21" s="131"/>
      <c r="C21" s="283"/>
      <c r="J21" s="133"/>
      <c r="P21" s="550" t="e">
        <f>기술투자!#REF!</f>
        <v>#REF!</v>
      </c>
    </row>
    <row r="22" spans="1:16" ht="15" customHeight="1">
      <c r="A22" s="131"/>
      <c r="B22" s="131"/>
      <c r="C22" s="283"/>
      <c r="J22" s="133"/>
    </row>
    <row r="23" spans="1:16" ht="15" customHeight="1">
      <c r="E23" s="137"/>
      <c r="F23" s="137"/>
      <c r="G23" s="137"/>
      <c r="H23" s="138"/>
      <c r="I23" s="138"/>
      <c r="J23" s="139"/>
    </row>
    <row r="24" spans="1:16" ht="15" customHeight="1">
      <c r="E24" s="137"/>
      <c r="F24" s="137"/>
      <c r="G24" s="137"/>
      <c r="H24" s="138"/>
      <c r="I24" s="138"/>
      <c r="J24" s="139"/>
    </row>
    <row r="25" spans="1:16" ht="15" customHeight="1">
      <c r="E25" s="137"/>
      <c r="F25" s="137"/>
      <c r="G25" s="137"/>
      <c r="H25" s="138"/>
      <c r="I25" s="138"/>
      <c r="J25" s="139"/>
    </row>
    <row r="26" spans="1:16" ht="15" customHeight="1">
      <c r="E26" s="137"/>
      <c r="F26" s="137"/>
      <c r="G26" s="137"/>
      <c r="H26" s="138"/>
      <c r="I26" s="138"/>
      <c r="J26" s="139"/>
    </row>
    <row r="27" spans="1:16" ht="15" customHeight="1">
      <c r="E27" s="137"/>
      <c r="F27" s="137"/>
      <c r="G27" s="137"/>
      <c r="H27" s="138"/>
      <c r="I27" s="138"/>
      <c r="J27" s="139"/>
    </row>
    <row r="28" spans="1:16" ht="12" customHeight="1">
      <c r="E28" s="137"/>
      <c r="F28" s="137"/>
      <c r="G28" s="137"/>
      <c r="H28" s="138"/>
      <c r="I28" s="138"/>
      <c r="J28" s="139"/>
    </row>
    <row r="29" spans="1:16" ht="12" customHeight="1">
      <c r="E29" s="137"/>
      <c r="F29" s="137"/>
      <c r="G29" s="137"/>
      <c r="H29" s="138"/>
      <c r="I29" s="138"/>
      <c r="J29" s="139"/>
    </row>
    <row r="30" spans="1:16" ht="12" customHeight="1">
      <c r="E30" s="137"/>
      <c r="F30" s="137"/>
      <c r="G30" s="137"/>
      <c r="H30" s="138"/>
      <c r="I30" s="138"/>
      <c r="J30" s="139"/>
    </row>
    <row r="31" spans="1:16" ht="12" customHeight="1">
      <c r="E31" s="137"/>
      <c r="F31" s="137"/>
      <c r="G31" s="137"/>
      <c r="H31" s="138"/>
      <c r="I31" s="138"/>
      <c r="J31" s="139"/>
    </row>
    <row r="32" spans="1:16" ht="12" customHeight="1">
      <c r="E32" s="137"/>
      <c r="F32" s="137"/>
      <c r="G32" s="137"/>
      <c r="H32" s="138"/>
      <c r="I32" s="138"/>
      <c r="J32" s="139"/>
    </row>
    <row r="33" spans="5:10" ht="12" customHeight="1">
      <c r="E33" s="137"/>
      <c r="F33" s="137"/>
      <c r="G33" s="137"/>
      <c r="H33" s="138"/>
      <c r="I33" s="138"/>
      <c r="J33" s="139"/>
    </row>
    <row r="34" spans="5:10" ht="12" customHeight="1">
      <c r="E34" s="137"/>
      <c r="F34" s="137"/>
      <c r="G34" s="137"/>
      <c r="H34" s="138"/>
      <c r="I34" s="138"/>
      <c r="J34" s="139"/>
    </row>
    <row r="35" spans="5:10" ht="12" customHeight="1">
      <c r="E35" s="137"/>
      <c r="F35" s="137"/>
      <c r="G35" s="137"/>
      <c r="H35" s="138"/>
      <c r="I35" s="138"/>
      <c r="J35" s="139"/>
    </row>
    <row r="36" spans="5:10" ht="12" customHeight="1">
      <c r="E36" s="137"/>
      <c r="F36" s="137"/>
      <c r="G36" s="137"/>
      <c r="H36" s="138"/>
      <c r="I36" s="138"/>
      <c r="J36" s="139"/>
    </row>
    <row r="37" spans="5:10" ht="12" customHeight="1">
      <c r="E37" s="137"/>
      <c r="F37" s="137"/>
      <c r="G37" s="137"/>
      <c r="H37" s="138"/>
      <c r="I37" s="138"/>
      <c r="J37" s="139"/>
    </row>
    <row r="38" spans="5:10" ht="12" customHeight="1">
      <c r="E38" s="137"/>
      <c r="F38" s="137"/>
      <c r="G38" s="137"/>
      <c r="H38" s="138"/>
      <c r="I38" s="138"/>
      <c r="J38" s="139"/>
    </row>
    <row r="39" spans="5:10" ht="12" customHeight="1">
      <c r="E39" s="137"/>
      <c r="F39" s="137"/>
      <c r="G39" s="137"/>
      <c r="H39" s="138"/>
      <c r="I39" s="138"/>
      <c r="J39" s="139"/>
    </row>
    <row r="40" spans="5:10" ht="12" customHeight="1">
      <c r="E40" s="137"/>
      <c r="F40" s="137"/>
      <c r="G40" s="137"/>
      <c r="H40" s="138"/>
      <c r="I40" s="138"/>
      <c r="J40" s="139"/>
    </row>
    <row r="41" spans="5:10" ht="12" customHeight="1">
      <c r="E41" s="137"/>
      <c r="F41" s="137"/>
      <c r="G41" s="137"/>
      <c r="H41" s="138"/>
      <c r="I41" s="138"/>
      <c r="J41" s="139"/>
    </row>
    <row r="42" spans="5:10" ht="12" customHeight="1">
      <c r="E42" s="137"/>
      <c r="F42" s="137"/>
      <c r="G42" s="137"/>
      <c r="H42" s="138"/>
      <c r="I42" s="138"/>
      <c r="J42" s="139"/>
    </row>
    <row r="43" spans="5:10" ht="12" customHeight="1">
      <c r="E43" s="137"/>
      <c r="F43" s="137"/>
      <c r="G43" s="137"/>
      <c r="H43" s="138"/>
      <c r="I43" s="138"/>
      <c r="J43" s="139"/>
    </row>
    <row r="44" spans="5:10" ht="12" customHeight="1">
      <c r="E44" s="137"/>
      <c r="F44" s="137"/>
      <c r="G44" s="137"/>
      <c r="H44" s="138"/>
      <c r="I44" s="138"/>
      <c r="J44" s="139"/>
    </row>
    <row r="45" spans="5:10" ht="12" customHeight="1">
      <c r="E45" s="137"/>
      <c r="F45" s="137"/>
      <c r="G45" s="137"/>
      <c r="H45" s="138"/>
      <c r="I45" s="138"/>
      <c r="J45" s="139"/>
    </row>
    <row r="46" spans="5:10" ht="12" customHeight="1">
      <c r="E46" s="137"/>
      <c r="F46" s="137"/>
      <c r="G46" s="137"/>
      <c r="H46" s="138"/>
      <c r="I46" s="138"/>
      <c r="J46" s="139"/>
    </row>
    <row r="47" spans="5:10" ht="12" customHeight="1">
      <c r="E47" s="137"/>
      <c r="F47" s="137"/>
      <c r="G47" s="137"/>
      <c r="H47" s="138"/>
      <c r="I47" s="138"/>
      <c r="J47" s="139"/>
    </row>
    <row r="48" spans="5:10" ht="12" customHeight="1">
      <c r="E48" s="137"/>
      <c r="F48" s="137"/>
      <c r="G48" s="137"/>
      <c r="H48" s="138"/>
      <c r="I48" s="138"/>
      <c r="J48" s="139"/>
    </row>
    <row r="49" spans="5:10" ht="12" customHeight="1">
      <c r="E49" s="137"/>
      <c r="F49" s="137"/>
      <c r="G49" s="137"/>
      <c r="H49" s="138"/>
      <c r="I49" s="138"/>
      <c r="J49" s="139"/>
    </row>
    <row r="50" spans="5:10" ht="12" customHeight="1">
      <c r="E50" s="137"/>
      <c r="F50" s="137"/>
      <c r="G50" s="137"/>
      <c r="H50" s="138"/>
      <c r="I50" s="138"/>
      <c r="J50" s="139"/>
    </row>
    <row r="51" spans="5:10" ht="12" customHeight="1">
      <c r="E51" s="137"/>
      <c r="F51" s="137"/>
      <c r="G51" s="137"/>
      <c r="H51" s="138"/>
      <c r="I51" s="138"/>
      <c r="J51" s="139"/>
    </row>
    <row r="52" spans="5:10" ht="12" customHeight="1">
      <c r="E52" s="137"/>
      <c r="F52" s="137"/>
      <c r="G52" s="137"/>
      <c r="H52" s="138"/>
      <c r="I52" s="138"/>
      <c r="J52" s="139"/>
    </row>
    <row r="53" spans="5:10" ht="12" customHeight="1">
      <c r="E53" s="137"/>
      <c r="F53" s="137"/>
      <c r="G53" s="137"/>
      <c r="H53" s="138"/>
      <c r="I53" s="138"/>
      <c r="J53" s="139"/>
    </row>
    <row r="54" spans="5:10" ht="12" customHeight="1">
      <c r="E54" s="137"/>
      <c r="F54" s="137"/>
      <c r="G54" s="137"/>
      <c r="H54" s="138"/>
      <c r="I54" s="138"/>
      <c r="J54" s="139"/>
    </row>
    <row r="55" spans="5:10" ht="12" customHeight="1">
      <c r="E55" s="137"/>
      <c r="F55" s="137"/>
      <c r="G55" s="137"/>
      <c r="H55" s="138"/>
      <c r="I55" s="138"/>
      <c r="J55" s="139"/>
    </row>
    <row r="56" spans="5:10" ht="12" customHeight="1">
      <c r="E56" s="137"/>
      <c r="F56" s="137"/>
      <c r="G56" s="137"/>
      <c r="H56" s="138"/>
      <c r="I56" s="138"/>
      <c r="J56" s="139"/>
    </row>
    <row r="57" spans="5:10" ht="12" customHeight="1">
      <c r="E57" s="137"/>
      <c r="F57" s="137"/>
      <c r="G57" s="137"/>
      <c r="H57" s="138"/>
      <c r="I57" s="138"/>
      <c r="J57" s="139"/>
    </row>
    <row r="58" spans="5:10" ht="12" customHeight="1">
      <c r="E58" s="137"/>
      <c r="F58" s="137"/>
      <c r="G58" s="137"/>
      <c r="H58" s="138"/>
      <c r="I58" s="138"/>
      <c r="J58" s="139"/>
    </row>
    <row r="59" spans="5:10" ht="12" customHeight="1">
      <c r="E59" s="137"/>
      <c r="F59" s="137"/>
      <c r="G59" s="137"/>
      <c r="H59" s="138"/>
      <c r="I59" s="138"/>
      <c r="J59" s="139"/>
    </row>
    <row r="60" spans="5:10" ht="12" customHeight="1">
      <c r="E60" s="137"/>
      <c r="F60" s="137"/>
      <c r="G60" s="137"/>
      <c r="H60" s="138"/>
      <c r="I60" s="138"/>
      <c r="J60" s="139"/>
    </row>
    <row r="61" spans="5:10" ht="12" customHeight="1">
      <c r="E61" s="137"/>
      <c r="F61" s="137"/>
      <c r="G61" s="137"/>
      <c r="H61" s="138"/>
      <c r="I61" s="138"/>
      <c r="J61" s="139"/>
    </row>
    <row r="62" spans="5:10" ht="12" customHeight="1">
      <c r="E62" s="137"/>
      <c r="F62" s="137"/>
      <c r="G62" s="137"/>
      <c r="H62" s="138"/>
      <c r="I62" s="138"/>
      <c r="J62" s="139"/>
    </row>
    <row r="63" spans="5:10" ht="12" customHeight="1">
      <c r="E63" s="137"/>
      <c r="F63" s="137"/>
      <c r="G63" s="137"/>
      <c r="H63" s="138"/>
      <c r="I63" s="138"/>
      <c r="J63" s="139"/>
    </row>
    <row r="64" spans="5:10" ht="12" customHeight="1">
      <c r="E64" s="137"/>
      <c r="F64" s="137"/>
      <c r="G64" s="137"/>
      <c r="H64" s="138"/>
      <c r="I64" s="138"/>
      <c r="J64" s="139"/>
    </row>
    <row r="65" spans="5:10" ht="12" customHeight="1">
      <c r="E65" s="137"/>
      <c r="F65" s="137"/>
      <c r="G65" s="137"/>
      <c r="H65" s="138"/>
      <c r="I65" s="138"/>
      <c r="J65" s="139"/>
    </row>
    <row r="66" spans="5:10" ht="12" customHeight="1">
      <c r="E66" s="137"/>
      <c r="F66" s="137"/>
      <c r="G66" s="137"/>
      <c r="H66" s="138"/>
      <c r="I66" s="138"/>
      <c r="J66" s="139"/>
    </row>
    <row r="67" spans="5:10" ht="12" customHeight="1">
      <c r="E67" s="137"/>
      <c r="F67" s="137"/>
      <c r="G67" s="137"/>
      <c r="H67" s="138"/>
      <c r="I67" s="138"/>
      <c r="J67" s="139"/>
    </row>
    <row r="68" spans="5:10" ht="12" customHeight="1">
      <c r="E68" s="137"/>
      <c r="F68" s="137"/>
      <c r="G68" s="137"/>
      <c r="H68" s="138"/>
      <c r="I68" s="138"/>
      <c r="J68" s="139"/>
    </row>
    <row r="69" spans="5:10" ht="12" customHeight="1">
      <c r="E69" s="137"/>
      <c r="F69" s="137"/>
      <c r="G69" s="137"/>
      <c r="H69" s="138"/>
      <c r="I69" s="138"/>
      <c r="J69" s="139"/>
    </row>
    <row r="70" spans="5:10" ht="12" customHeight="1">
      <c r="E70" s="137"/>
      <c r="F70" s="137"/>
      <c r="G70" s="137"/>
      <c r="H70" s="138"/>
      <c r="I70" s="138"/>
      <c r="J70" s="139"/>
    </row>
    <row r="71" spans="5:10" ht="12" customHeight="1">
      <c r="E71" s="137"/>
      <c r="F71" s="137"/>
      <c r="G71" s="137"/>
      <c r="H71" s="138"/>
      <c r="I71" s="138"/>
      <c r="J71" s="139"/>
    </row>
    <row r="72" spans="5:10" ht="12" customHeight="1">
      <c r="E72" s="137"/>
      <c r="F72" s="137"/>
      <c r="G72" s="137"/>
      <c r="H72" s="138"/>
      <c r="I72" s="138"/>
      <c r="J72" s="139"/>
    </row>
    <row r="73" spans="5:10" ht="12" customHeight="1">
      <c r="E73" s="137"/>
      <c r="F73" s="137"/>
      <c r="G73" s="137"/>
      <c r="H73" s="138"/>
      <c r="I73" s="138"/>
      <c r="J73" s="139"/>
    </row>
    <row r="74" spans="5:10" ht="12" customHeight="1">
      <c r="E74" s="137"/>
      <c r="F74" s="137"/>
      <c r="G74" s="137"/>
      <c r="H74" s="138"/>
      <c r="I74" s="138"/>
      <c r="J74" s="139"/>
    </row>
    <row r="75" spans="5:10" ht="12" customHeight="1">
      <c r="E75" s="137"/>
      <c r="F75" s="137"/>
      <c r="G75" s="137"/>
      <c r="H75" s="138"/>
      <c r="I75" s="138"/>
      <c r="J75" s="139"/>
    </row>
    <row r="76" spans="5:10" ht="12" customHeight="1">
      <c r="E76" s="137"/>
      <c r="F76" s="137"/>
      <c r="G76" s="137"/>
      <c r="H76" s="138"/>
      <c r="I76" s="138"/>
      <c r="J76" s="139"/>
    </row>
    <row r="77" spans="5:10" ht="12" customHeight="1">
      <c r="E77" s="137"/>
      <c r="F77" s="137"/>
      <c r="G77" s="137"/>
      <c r="H77" s="138"/>
      <c r="I77" s="138"/>
      <c r="J77" s="139"/>
    </row>
    <row r="78" spans="5:10" ht="12" customHeight="1">
      <c r="E78" s="137"/>
      <c r="F78" s="137"/>
      <c r="G78" s="137"/>
      <c r="H78" s="138"/>
      <c r="I78" s="138"/>
      <c r="J78" s="139"/>
    </row>
    <row r="79" spans="5:10" ht="12" customHeight="1">
      <c r="E79" s="137"/>
      <c r="F79" s="137"/>
      <c r="G79" s="137"/>
      <c r="H79" s="138"/>
      <c r="I79" s="138"/>
      <c r="J79" s="139"/>
    </row>
    <row r="80" spans="5:10" ht="12" customHeight="1">
      <c r="E80" s="137"/>
      <c r="F80" s="137"/>
      <c r="G80" s="137"/>
      <c r="H80" s="138"/>
      <c r="I80" s="138"/>
      <c r="J80" s="139"/>
    </row>
    <row r="81" spans="5:10" ht="12" customHeight="1">
      <c r="E81" s="137"/>
      <c r="F81" s="137"/>
      <c r="G81" s="137"/>
      <c r="H81" s="138"/>
      <c r="I81" s="138"/>
      <c r="J81" s="139"/>
    </row>
    <row r="82" spans="5:10" ht="12" customHeight="1">
      <c r="E82" s="137"/>
      <c r="F82" s="137"/>
      <c r="G82" s="137"/>
      <c r="H82" s="138"/>
      <c r="I82" s="138"/>
      <c r="J82" s="139"/>
    </row>
    <row r="83" spans="5:10" ht="12" customHeight="1">
      <c r="E83" s="137"/>
      <c r="F83" s="137"/>
      <c r="G83" s="137"/>
      <c r="H83" s="138"/>
      <c r="I83" s="138"/>
      <c r="J83" s="139"/>
    </row>
    <row r="84" spans="5:10" ht="12" customHeight="1">
      <c r="E84" s="137"/>
      <c r="F84" s="137"/>
      <c r="G84" s="137"/>
      <c r="H84" s="138"/>
      <c r="I84" s="138"/>
      <c r="J84" s="139"/>
    </row>
    <row r="85" spans="5:10" ht="12" customHeight="1">
      <c r="E85" s="137"/>
      <c r="F85" s="137"/>
      <c r="G85" s="137"/>
      <c r="H85" s="138"/>
      <c r="I85" s="138"/>
      <c r="J85" s="139"/>
    </row>
    <row r="86" spans="5:10" ht="12" customHeight="1">
      <c r="E86" s="137"/>
      <c r="F86" s="137"/>
      <c r="G86" s="137"/>
      <c r="H86" s="138"/>
      <c r="I86" s="138"/>
      <c r="J86" s="139"/>
    </row>
    <row r="87" spans="5:10" ht="12" customHeight="1">
      <c r="E87" s="137"/>
      <c r="F87" s="137"/>
      <c r="G87" s="137"/>
      <c r="H87" s="138"/>
      <c r="I87" s="138"/>
      <c r="J87" s="139"/>
    </row>
    <row r="88" spans="5:10" ht="12" customHeight="1">
      <c r="E88" s="137"/>
      <c r="F88" s="137"/>
      <c r="G88" s="137"/>
      <c r="H88" s="138"/>
      <c r="I88" s="138"/>
      <c r="J88" s="139"/>
    </row>
    <row r="89" spans="5:10" ht="12" customHeight="1">
      <c r="E89" s="137"/>
      <c r="F89" s="137"/>
      <c r="G89" s="137"/>
      <c r="H89" s="138"/>
      <c r="I89" s="138"/>
      <c r="J89" s="139"/>
    </row>
    <row r="90" spans="5:10" ht="12" customHeight="1">
      <c r="E90" s="137"/>
      <c r="F90" s="137"/>
      <c r="G90" s="137"/>
      <c r="H90" s="138"/>
      <c r="I90" s="138"/>
      <c r="J90" s="139"/>
    </row>
    <row r="91" spans="5:10" ht="12" customHeight="1">
      <c r="E91" s="137"/>
      <c r="F91" s="137"/>
      <c r="G91" s="137"/>
      <c r="H91" s="138"/>
      <c r="I91" s="138"/>
      <c r="J91" s="139"/>
    </row>
    <row r="92" spans="5:10" ht="12" customHeight="1">
      <c r="E92" s="137"/>
      <c r="F92" s="137"/>
      <c r="G92" s="137"/>
      <c r="H92" s="138"/>
      <c r="I92" s="138"/>
      <c r="J92" s="139"/>
    </row>
    <row r="93" spans="5:10" ht="12" customHeight="1">
      <c r="E93" s="137"/>
      <c r="F93" s="137"/>
      <c r="G93" s="137"/>
      <c r="H93" s="138"/>
      <c r="I93" s="138"/>
      <c r="J93" s="139"/>
    </row>
    <row r="94" spans="5:10" ht="12" customHeight="1">
      <c r="E94" s="137"/>
      <c r="F94" s="137"/>
      <c r="G94" s="137"/>
      <c r="H94" s="138"/>
      <c r="I94" s="138"/>
      <c r="J94" s="139"/>
    </row>
    <row r="95" spans="5:10" ht="12" customHeight="1">
      <c r="E95" s="137"/>
      <c r="F95" s="137"/>
      <c r="G95" s="137"/>
      <c r="H95" s="138"/>
      <c r="I95" s="138"/>
      <c r="J95" s="139"/>
    </row>
    <row r="96" spans="5:10" ht="12" customHeight="1">
      <c r="E96" s="137"/>
      <c r="F96" s="137"/>
      <c r="G96" s="137"/>
      <c r="H96" s="138"/>
      <c r="I96" s="138"/>
      <c r="J96" s="139"/>
    </row>
    <row r="97" spans="5:10" ht="12" customHeight="1">
      <c r="E97" s="137"/>
      <c r="F97" s="137"/>
      <c r="G97" s="137"/>
      <c r="H97" s="138"/>
      <c r="I97" s="138"/>
      <c r="J97" s="139"/>
    </row>
    <row r="98" spans="5:10" ht="12" customHeight="1">
      <c r="E98" s="137"/>
      <c r="F98" s="137"/>
      <c r="G98" s="137"/>
      <c r="H98" s="138"/>
      <c r="I98" s="138"/>
      <c r="J98" s="139"/>
    </row>
    <row r="99" spans="5:10" ht="12" customHeight="1">
      <c r="E99" s="137"/>
      <c r="F99" s="137"/>
      <c r="G99" s="137"/>
      <c r="H99" s="138"/>
      <c r="I99" s="138"/>
      <c r="J99" s="139"/>
    </row>
    <row r="100" spans="5:10" ht="12" customHeight="1">
      <c r="E100" s="137"/>
      <c r="F100" s="137"/>
      <c r="G100" s="137"/>
      <c r="H100" s="138"/>
      <c r="I100" s="138"/>
      <c r="J100" s="139"/>
    </row>
    <row r="101" spans="5:10" ht="12" customHeight="1">
      <c r="E101" s="137"/>
      <c r="F101" s="137"/>
      <c r="G101" s="137"/>
      <c r="H101" s="138"/>
      <c r="I101" s="138"/>
      <c r="J101" s="139"/>
    </row>
    <row r="102" spans="5:10" ht="12" customHeight="1">
      <c r="E102" s="137"/>
      <c r="F102" s="137"/>
      <c r="G102" s="137"/>
      <c r="H102" s="138"/>
      <c r="I102" s="138"/>
      <c r="J102" s="139"/>
    </row>
    <row r="103" spans="5:10" ht="12" customHeight="1">
      <c r="E103" s="137"/>
      <c r="F103" s="137"/>
      <c r="G103" s="137"/>
      <c r="H103" s="138"/>
      <c r="I103" s="138"/>
      <c r="J103" s="139"/>
    </row>
    <row r="104" spans="5:10" ht="12" customHeight="1">
      <c r="E104" s="137"/>
      <c r="F104" s="137"/>
      <c r="G104" s="137"/>
      <c r="H104" s="138"/>
      <c r="I104" s="138"/>
      <c r="J104" s="139"/>
    </row>
    <row r="105" spans="5:10" ht="12" customHeight="1">
      <c r="E105" s="137"/>
      <c r="F105" s="137"/>
      <c r="G105" s="137"/>
      <c r="H105" s="138"/>
      <c r="I105" s="138"/>
      <c r="J105" s="139"/>
    </row>
    <row r="106" spans="5:10" ht="12" customHeight="1">
      <c r="E106" s="137"/>
      <c r="F106" s="137"/>
      <c r="G106" s="137"/>
      <c r="H106" s="138"/>
      <c r="I106" s="138"/>
      <c r="J106" s="139"/>
    </row>
    <row r="107" spans="5:10" ht="12" customHeight="1">
      <c r="E107" s="137"/>
      <c r="F107" s="137"/>
      <c r="G107" s="137"/>
      <c r="H107" s="138"/>
      <c r="I107" s="138"/>
      <c r="J107" s="139"/>
    </row>
    <row r="108" spans="5:10" ht="12" customHeight="1">
      <c r="E108" s="137"/>
      <c r="F108" s="137"/>
      <c r="G108" s="137"/>
      <c r="H108" s="138"/>
      <c r="I108" s="138"/>
      <c r="J108" s="139"/>
    </row>
    <row r="109" spans="5:10" ht="12" customHeight="1">
      <c r="E109" s="137"/>
      <c r="F109" s="137"/>
      <c r="G109" s="137"/>
      <c r="H109" s="138"/>
      <c r="I109" s="138"/>
      <c r="J109" s="139"/>
    </row>
    <row r="110" spans="5:10" ht="12" customHeight="1">
      <c r="E110" s="137"/>
      <c r="F110" s="137"/>
      <c r="G110" s="137"/>
      <c r="H110" s="138"/>
      <c r="I110" s="138"/>
      <c r="J110" s="139"/>
    </row>
    <row r="111" spans="5:10" ht="12" customHeight="1">
      <c r="E111" s="137"/>
      <c r="F111" s="137"/>
      <c r="G111" s="137"/>
      <c r="H111" s="138"/>
      <c r="I111" s="138"/>
      <c r="J111" s="139"/>
    </row>
    <row r="112" spans="5:10" ht="12" customHeight="1">
      <c r="E112" s="137"/>
      <c r="F112" s="137"/>
      <c r="G112" s="137"/>
      <c r="H112" s="138"/>
      <c r="I112" s="138"/>
      <c r="J112" s="139"/>
    </row>
    <row r="113" spans="5:10" ht="12" customHeight="1">
      <c r="E113" s="137"/>
      <c r="F113" s="137"/>
      <c r="G113" s="137"/>
      <c r="H113" s="138"/>
      <c r="I113" s="138"/>
      <c r="J113" s="139"/>
    </row>
    <row r="114" spans="5:10" ht="12" customHeight="1">
      <c r="E114" s="137"/>
      <c r="F114" s="137"/>
      <c r="G114" s="137"/>
      <c r="H114" s="138"/>
      <c r="I114" s="138"/>
      <c r="J114" s="139"/>
    </row>
    <row r="115" spans="5:10" ht="12" customHeight="1">
      <c r="E115" s="137"/>
      <c r="F115" s="137"/>
      <c r="G115" s="137"/>
      <c r="H115" s="138"/>
      <c r="I115" s="138"/>
      <c r="J115" s="139"/>
    </row>
    <row r="116" spans="5:10" ht="12" customHeight="1">
      <c r="E116" s="137"/>
      <c r="F116" s="137"/>
      <c r="G116" s="137"/>
      <c r="H116" s="138"/>
      <c r="I116" s="138"/>
      <c r="J116" s="139"/>
    </row>
    <row r="117" spans="5:10" ht="12" customHeight="1">
      <c r="E117" s="137"/>
      <c r="F117" s="137"/>
      <c r="G117" s="137"/>
      <c r="H117" s="138"/>
      <c r="I117" s="138"/>
      <c r="J117" s="139"/>
    </row>
    <row r="118" spans="5:10" ht="12" customHeight="1">
      <c r="E118" s="137"/>
      <c r="F118" s="137"/>
      <c r="G118" s="137"/>
      <c r="H118" s="138"/>
      <c r="I118" s="138"/>
      <c r="J118" s="139"/>
    </row>
    <row r="119" spans="5:10" ht="12" customHeight="1">
      <c r="E119" s="137"/>
      <c r="F119" s="137"/>
      <c r="G119" s="137"/>
      <c r="H119" s="138"/>
      <c r="I119" s="138"/>
      <c r="J119" s="139"/>
    </row>
    <row r="120" spans="5:10" ht="12" customHeight="1">
      <c r="E120" s="137"/>
      <c r="F120" s="137"/>
      <c r="G120" s="137"/>
      <c r="H120" s="138"/>
      <c r="I120" s="138"/>
      <c r="J120" s="139"/>
    </row>
    <row r="121" spans="5:10" ht="12" customHeight="1">
      <c r="E121" s="137"/>
      <c r="F121" s="137"/>
      <c r="G121" s="137"/>
      <c r="H121" s="138"/>
      <c r="I121" s="138"/>
      <c r="J121" s="139"/>
    </row>
    <row r="122" spans="5:10" ht="12" customHeight="1">
      <c r="E122" s="137"/>
      <c r="F122" s="137"/>
      <c r="G122" s="137"/>
      <c r="H122" s="138"/>
      <c r="I122" s="138"/>
      <c r="J122" s="139"/>
    </row>
    <row r="123" spans="5:10" ht="12" customHeight="1">
      <c r="E123" s="137"/>
      <c r="F123" s="137"/>
      <c r="G123" s="137"/>
      <c r="H123" s="138"/>
      <c r="I123" s="138"/>
      <c r="J123" s="139"/>
    </row>
    <row r="124" spans="5:10" ht="12" customHeight="1">
      <c r="E124" s="137"/>
      <c r="F124" s="137"/>
      <c r="G124" s="137"/>
      <c r="H124" s="138"/>
      <c r="I124" s="138"/>
      <c r="J124" s="139"/>
    </row>
    <row r="125" spans="5:10" ht="12" customHeight="1">
      <c r="E125" s="137"/>
      <c r="F125" s="137"/>
      <c r="G125" s="137"/>
      <c r="H125" s="138"/>
      <c r="I125" s="138"/>
      <c r="J125" s="139"/>
    </row>
    <row r="126" spans="5:10" ht="12" customHeight="1">
      <c r="E126" s="137"/>
      <c r="F126" s="137"/>
      <c r="G126" s="137"/>
      <c r="H126" s="138"/>
      <c r="I126" s="138"/>
      <c r="J126" s="139"/>
    </row>
    <row r="127" spans="5:10" ht="12" customHeight="1">
      <c r="E127" s="137"/>
      <c r="F127" s="137"/>
      <c r="G127" s="137"/>
      <c r="H127" s="138"/>
      <c r="I127" s="138"/>
      <c r="J127" s="139"/>
    </row>
  </sheetData>
  <mergeCells count="3">
    <mergeCell ref="A16:I16"/>
    <mergeCell ref="A14:I14"/>
    <mergeCell ref="A12:I12"/>
  </mergeCells>
  <phoneticPr fontId="23" type="noConversion"/>
  <pageMargins left="0.8" right="0.74803149606299213" top="0.51" bottom="0.4" header="0.35" footer="0.32"/>
  <pageSetup paperSize="9" fitToHeight="3" orientation="landscape" r:id="rId1"/>
  <headerFooter alignWithMargins="0"/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4"/>
  <sheetViews>
    <sheetView view="pageBreakPreview" zoomScale="85" zoomScaleNormal="70" zoomScaleSheetLayoutView="70" workbookViewId="0">
      <selection activeCell="F6" sqref="F6:F8"/>
    </sheetView>
  </sheetViews>
  <sheetFormatPr defaultRowHeight="15.95" customHeight="1"/>
  <cols>
    <col min="1" max="1" width="3.21875" style="25" customWidth="1"/>
    <col min="2" max="2" width="25.21875" style="25" customWidth="1"/>
    <col min="3" max="6" width="20.77734375" style="25" customWidth="1"/>
    <col min="7" max="7" width="7.77734375" style="25" customWidth="1"/>
    <col min="8" max="8" width="6.6640625" style="25" customWidth="1"/>
    <col min="9" max="9" width="15" style="2" customWidth="1"/>
    <col min="10" max="11" width="14.33203125" style="2" customWidth="1"/>
    <col min="12" max="12" width="12.33203125" style="23" customWidth="1"/>
    <col min="13" max="13" width="7.88671875" style="2" customWidth="1"/>
    <col min="14" max="14" width="10.109375" style="2" bestFit="1" customWidth="1"/>
    <col min="15" max="15" width="7.77734375" style="2" customWidth="1"/>
    <col min="16" max="16384" width="8.88671875" style="2"/>
  </cols>
  <sheetData>
    <row r="1" spans="1:12" s="8" customFormat="1" ht="20.100000000000001" customHeight="1">
      <c r="A1" s="77" t="s">
        <v>774</v>
      </c>
      <c r="B1" s="78"/>
      <c r="C1" s="78"/>
      <c r="D1" s="78"/>
      <c r="E1" s="78"/>
      <c r="F1" s="78"/>
      <c r="G1" s="78"/>
      <c r="H1" s="78"/>
      <c r="L1" s="21"/>
    </row>
    <row r="2" spans="1:12" s="4" customFormat="1" ht="20.100000000000001" customHeight="1">
      <c r="A2" s="106"/>
      <c r="B2" s="26"/>
      <c r="C2" s="26"/>
      <c r="D2" s="26"/>
      <c r="E2" s="26"/>
      <c r="F2" s="26"/>
      <c r="G2" s="26"/>
      <c r="H2" s="26"/>
      <c r="L2" s="22"/>
    </row>
    <row r="3" spans="1:12" s="8" customFormat="1" ht="20.100000000000001" customHeight="1">
      <c r="A3" s="78"/>
      <c r="B3" s="95" t="s">
        <v>773</v>
      </c>
      <c r="C3" s="95"/>
      <c r="D3" s="78"/>
      <c r="E3" s="78"/>
      <c r="F3" s="78"/>
      <c r="G3" s="78"/>
      <c r="H3" s="78"/>
    </row>
    <row r="4" spans="1:12" s="4" customFormat="1" ht="20.100000000000001" customHeight="1">
      <c r="A4" s="26"/>
      <c r="B4" s="1071" t="s">
        <v>80</v>
      </c>
      <c r="C4" s="1151" t="s">
        <v>772</v>
      </c>
      <c r="D4" s="1111"/>
      <c r="E4" s="1111"/>
      <c r="F4" s="901" t="s">
        <v>771</v>
      </c>
    </row>
    <row r="5" spans="1:12" s="4" customFormat="1" ht="20.100000000000001" customHeight="1">
      <c r="A5" s="26"/>
      <c r="B5" s="1072"/>
      <c r="C5" s="1152"/>
      <c r="D5" s="1112"/>
      <c r="E5" s="1112"/>
      <c r="F5" s="903"/>
    </row>
    <row r="6" spans="1:12" s="4" customFormat="1" ht="27" customHeight="1">
      <c r="A6" s="26"/>
      <c r="B6" s="815" t="s">
        <v>775</v>
      </c>
      <c r="C6" s="1153" t="s">
        <v>755</v>
      </c>
      <c r="D6" s="1154"/>
      <c r="E6" s="1154"/>
      <c r="F6" s="1155"/>
    </row>
    <row r="7" spans="1:12" s="4" customFormat="1" ht="27" customHeight="1">
      <c r="A7" s="26"/>
      <c r="B7" s="814" t="s">
        <v>776</v>
      </c>
      <c r="C7" s="1146" t="s">
        <v>755</v>
      </c>
      <c r="D7" s="1147"/>
      <c r="E7" s="1147"/>
      <c r="F7" s="1156"/>
    </row>
    <row r="8" spans="1:12" s="4" customFormat="1" ht="27" customHeight="1">
      <c r="A8" s="26"/>
      <c r="B8" s="814" t="s">
        <v>777</v>
      </c>
      <c r="C8" s="1146" t="s">
        <v>755</v>
      </c>
      <c r="D8" s="1147"/>
      <c r="E8" s="1147"/>
      <c r="F8" s="1157"/>
    </row>
    <row r="9" spans="1:12" s="4" customFormat="1" ht="22.5" customHeight="1">
      <c r="A9" s="26"/>
      <c r="B9" s="109"/>
      <c r="C9" s="26"/>
      <c r="D9" s="26"/>
      <c r="E9" s="26"/>
      <c r="F9" s="26"/>
      <c r="G9" s="26"/>
      <c r="H9" s="26"/>
      <c r="L9" s="22"/>
    </row>
    <row r="10" spans="1:12" ht="19.5" customHeight="1">
      <c r="B10" s="95" t="s">
        <v>770</v>
      </c>
      <c r="C10" s="95"/>
      <c r="D10" s="78"/>
      <c r="E10" s="78"/>
      <c r="F10" s="78"/>
    </row>
    <row r="11" spans="1:12" ht="20.100000000000001" customHeight="1">
      <c r="B11" s="1065" t="s">
        <v>769</v>
      </c>
      <c r="C11" s="1065" t="s">
        <v>768</v>
      </c>
      <c r="D11" s="1150" t="s">
        <v>767</v>
      </c>
      <c r="E11" s="1150" t="s">
        <v>766</v>
      </c>
      <c r="F11" s="1150" t="s">
        <v>765</v>
      </c>
    </row>
    <row r="12" spans="1:12" ht="20.100000000000001" customHeight="1">
      <c r="B12" s="1065"/>
      <c r="C12" s="1065"/>
      <c r="D12" s="1065"/>
      <c r="E12" s="1065"/>
      <c r="F12" s="1065"/>
    </row>
    <row r="13" spans="1:12" ht="27" customHeight="1">
      <c r="B13" s="755"/>
      <c r="C13" s="813">
        <v>0</v>
      </c>
      <c r="D13" s="813">
        <v>0</v>
      </c>
      <c r="E13" s="812">
        <v>0</v>
      </c>
      <c r="F13" s="1148">
        <f>IF(SUM(E13:E14)&gt;=82%,1,IF(SUM(E13:E14)&gt;=77%,0.8,IF(SUM(E13:E14)&gt;=70%,0.6,IF(SUM(E13:E14)&gt;=65%,0.4,0))))</f>
        <v>0</v>
      </c>
    </row>
    <row r="14" spans="1:12" ht="27" customHeight="1">
      <c r="B14" s="755"/>
      <c r="C14" s="813">
        <v>0</v>
      </c>
      <c r="D14" s="813">
        <v>0</v>
      </c>
      <c r="E14" s="812">
        <v>0</v>
      </c>
      <c r="F14" s="1149"/>
    </row>
    <row r="15" spans="1:12" ht="10.5" customHeight="1"/>
    <row r="16" spans="1:12" ht="15.95" customHeight="1">
      <c r="B16" s="311"/>
    </row>
    <row r="17" spans="1:12" ht="15.95" customHeight="1">
      <c r="A17" s="158" t="s">
        <v>764</v>
      </c>
      <c r="B17" s="159" t="s">
        <v>763</v>
      </c>
      <c r="C17" s="159"/>
      <c r="D17" s="244"/>
      <c r="E17" s="244"/>
    </row>
    <row r="18" spans="1:12" ht="15.95" customHeight="1">
      <c r="A18" s="244"/>
      <c r="B18" s="159" t="s">
        <v>762</v>
      </c>
      <c r="C18" s="159"/>
      <c r="D18" s="244"/>
      <c r="E18" s="244"/>
    </row>
    <row r="19" spans="1:12" ht="15.95" customHeight="1">
      <c r="B19" s="164"/>
      <c r="C19" s="164"/>
    </row>
    <row r="20" spans="1:12" ht="15.95" customHeight="1">
      <c r="A20" s="25" t="s">
        <v>761</v>
      </c>
      <c r="B20" s="25" t="s">
        <v>760</v>
      </c>
    </row>
    <row r="21" spans="1:12" ht="15.95" customHeight="1">
      <c r="B21" s="25" t="s">
        <v>759</v>
      </c>
    </row>
    <row r="30" spans="1:12" s="25" customFormat="1" ht="15.95" customHeight="1">
      <c r="I30" s="2"/>
      <c r="J30" s="2"/>
      <c r="K30" s="2"/>
      <c r="L30" s="23"/>
    </row>
    <row r="31" spans="1:12" s="25" customFormat="1" ht="15.95" customHeight="1">
      <c r="I31" s="2"/>
      <c r="J31" s="2"/>
      <c r="K31" s="2"/>
      <c r="L31" s="23"/>
    </row>
    <row r="32" spans="1:12" s="25" customFormat="1" ht="15.95" customHeight="1">
      <c r="I32" s="2"/>
      <c r="J32" s="2"/>
      <c r="K32" s="2"/>
      <c r="L32" s="23"/>
    </row>
    <row r="33" spans="9:12" s="25" customFormat="1" ht="15.95" customHeight="1">
      <c r="I33" s="2"/>
      <c r="J33" s="2"/>
      <c r="K33" s="2"/>
      <c r="L33" s="23"/>
    </row>
    <row r="34" spans="9:12" s="25" customFormat="1" ht="15.95" customHeight="1">
      <c r="I34" s="2"/>
      <c r="J34" s="2"/>
      <c r="K34" s="2"/>
      <c r="L34" s="23"/>
    </row>
    <row r="35" spans="9:12" s="25" customFormat="1" ht="15.95" customHeight="1">
      <c r="I35" s="2"/>
      <c r="J35" s="2"/>
      <c r="K35" s="2"/>
      <c r="L35" s="23"/>
    </row>
    <row r="36" spans="9:12" s="25" customFormat="1" ht="15.95" customHeight="1">
      <c r="I36" s="2"/>
      <c r="J36" s="2"/>
      <c r="K36" s="2"/>
      <c r="L36" s="23"/>
    </row>
    <row r="37" spans="9:12" s="25" customFormat="1" ht="15.95" customHeight="1">
      <c r="I37" s="2"/>
      <c r="J37" s="2"/>
      <c r="K37" s="2"/>
      <c r="L37" s="23"/>
    </row>
    <row r="38" spans="9:12" s="25" customFormat="1" ht="15.95" customHeight="1">
      <c r="I38" s="2"/>
      <c r="J38" s="2"/>
      <c r="K38" s="2"/>
      <c r="L38" s="23"/>
    </row>
    <row r="39" spans="9:12" s="25" customFormat="1" ht="15.95" customHeight="1">
      <c r="I39" s="2"/>
      <c r="J39" s="2"/>
      <c r="K39" s="2"/>
      <c r="L39" s="23"/>
    </row>
    <row r="40" spans="9:12" s="25" customFormat="1" ht="15.95" customHeight="1">
      <c r="I40" s="2"/>
      <c r="J40" s="2"/>
      <c r="K40" s="2"/>
      <c r="L40" s="23"/>
    </row>
    <row r="41" spans="9:12" s="25" customFormat="1" ht="15.95" customHeight="1">
      <c r="I41" s="2"/>
      <c r="J41" s="2"/>
      <c r="K41" s="2"/>
      <c r="L41" s="23"/>
    </row>
    <row r="42" spans="9:12" s="25" customFormat="1" ht="15.95" customHeight="1">
      <c r="I42" s="2"/>
      <c r="J42" s="2"/>
      <c r="K42" s="2"/>
      <c r="L42" s="23"/>
    </row>
    <row r="43" spans="9:12" s="25" customFormat="1" ht="15.95" customHeight="1">
      <c r="I43" s="2"/>
      <c r="J43" s="2"/>
      <c r="K43" s="2"/>
      <c r="L43" s="23"/>
    </row>
    <row r="44" spans="9:12" s="25" customFormat="1" ht="15.95" customHeight="1">
      <c r="I44" s="2"/>
      <c r="J44" s="2"/>
      <c r="K44" s="2"/>
      <c r="L44" s="23"/>
    </row>
  </sheetData>
  <mergeCells count="13">
    <mergeCell ref="F4:F5"/>
    <mergeCell ref="C8:E8"/>
    <mergeCell ref="F13:F14"/>
    <mergeCell ref="B4:B5"/>
    <mergeCell ref="D11:D12"/>
    <mergeCell ref="B11:B12"/>
    <mergeCell ref="C11:C12"/>
    <mergeCell ref="F11:F12"/>
    <mergeCell ref="E11:E12"/>
    <mergeCell ref="C4:E5"/>
    <mergeCell ref="C6:E6"/>
    <mergeCell ref="C7:E7"/>
    <mergeCell ref="F6:F8"/>
  </mergeCells>
  <phoneticPr fontId="2" type="noConversion"/>
  <pageMargins left="0.74803149606299213" right="0.74803149606299213" top="1.08" bottom="0.78740157480314965" header="0.51181102362204722" footer="0.51181102362204722"/>
  <pageSetup paperSize="9" scale="94" orientation="landscape" horizontalDpi="4294967293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A21"/>
  <sheetViews>
    <sheetView view="pageBreakPreview" topLeftCell="D4" zoomScaleNormal="70" zoomScaleSheetLayoutView="55" workbookViewId="0">
      <selection activeCell="H13" sqref="H13"/>
    </sheetView>
  </sheetViews>
  <sheetFormatPr defaultRowHeight="15.95" customHeight="1"/>
  <cols>
    <col min="1" max="1" width="3.5546875" style="25" customWidth="1"/>
    <col min="2" max="2" width="20" style="25" customWidth="1"/>
    <col min="3" max="3" width="11.77734375" style="86" customWidth="1"/>
    <col min="4" max="9" width="8.88671875" style="25"/>
    <col min="10" max="10" width="9.6640625" style="25" customWidth="1"/>
    <col min="11" max="11" width="7.77734375" style="25" customWidth="1"/>
    <col min="12" max="15" width="7.77734375" style="2" customWidth="1"/>
    <col min="16" max="16" width="7.88671875" style="2" customWidth="1"/>
    <col min="17" max="17" width="7.44140625" style="2" customWidth="1"/>
    <col min="18" max="18" width="8.5546875" style="2" customWidth="1"/>
    <col min="19" max="19" width="7.44140625" style="2" customWidth="1"/>
    <col min="20" max="20" width="7" style="2" customWidth="1"/>
    <col min="21" max="16384" width="8.88671875" style="2"/>
  </cols>
  <sheetData>
    <row r="1" spans="1:27" s="8" customFormat="1" ht="23.25" customHeight="1" thickBot="1">
      <c r="A1" s="77" t="s">
        <v>778</v>
      </c>
      <c r="B1" s="78"/>
      <c r="C1" s="94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7" s="8" customFormat="1" ht="24.75" customHeight="1" thickBot="1">
      <c r="A2" s="77"/>
      <c r="B2" s="78"/>
      <c r="C2" s="94"/>
      <c r="D2" s="78"/>
      <c r="E2" s="78"/>
      <c r="F2" s="78"/>
      <c r="G2" s="78"/>
      <c r="H2" s="78"/>
      <c r="I2" s="78"/>
      <c r="J2" s="78"/>
      <c r="K2" s="611"/>
      <c r="L2" s="816"/>
      <c r="M2" s="816"/>
      <c r="N2" s="816"/>
      <c r="O2" s="816"/>
      <c r="P2" s="816"/>
      <c r="Q2" s="78"/>
      <c r="T2" s="611"/>
      <c r="U2" s="611"/>
      <c r="V2" s="611"/>
      <c r="W2" s="817"/>
      <c r="X2" s="533" t="s">
        <v>29</v>
      </c>
      <c r="Y2" s="534">
        <v>36</v>
      </c>
      <c r="Z2" s="78"/>
    </row>
    <row r="3" spans="1:27" ht="18" customHeight="1" thickBot="1">
      <c r="B3" s="95"/>
      <c r="C3" s="7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7" ht="32.25" customHeight="1">
      <c r="B4" s="1158" t="s">
        <v>80</v>
      </c>
      <c r="C4" s="1160" t="s">
        <v>277</v>
      </c>
      <c r="D4" s="1161"/>
      <c r="E4" s="1161"/>
      <c r="F4" s="1161"/>
      <c r="G4" s="1161"/>
      <c r="H4" s="1161"/>
      <c r="I4" s="1161"/>
      <c r="J4" s="1161"/>
      <c r="K4" s="1161"/>
      <c r="L4" s="1161"/>
      <c r="M4" s="1161"/>
      <c r="N4" s="1161"/>
      <c r="O4" s="1161"/>
      <c r="P4" s="1161"/>
      <c r="Q4" s="1161"/>
      <c r="R4" s="1161"/>
      <c r="S4" s="1161"/>
      <c r="T4" s="1161"/>
      <c r="U4" s="1161"/>
      <c r="V4" s="1161"/>
      <c r="W4" s="1161"/>
      <c r="X4" s="1161"/>
      <c r="Y4" s="1162"/>
    </row>
    <row r="5" spans="1:27" ht="32.25" customHeight="1">
      <c r="B5" s="1159"/>
      <c r="C5" s="402" t="s">
        <v>779</v>
      </c>
      <c r="D5" s="842" t="s">
        <v>780</v>
      </c>
      <c r="E5" s="818" t="str">
        <f>배점기준!C3</f>
        <v>도시계획</v>
      </c>
      <c r="F5" s="818" t="str">
        <f>배점기준!C4</f>
        <v>토질지질</v>
      </c>
      <c r="G5" s="818" t="str">
        <f>배점기준!C5</f>
        <v>도로공항</v>
      </c>
      <c r="H5" s="818" t="str">
        <f>배점기준!C6</f>
        <v>토목구조</v>
      </c>
      <c r="I5" s="818" t="str">
        <f>배점기준!C7</f>
        <v>상하수도</v>
      </c>
      <c r="J5" s="818" t="str">
        <f>배점기준!C8</f>
        <v>조경</v>
      </c>
      <c r="K5" s="843" t="s">
        <v>781</v>
      </c>
      <c r="L5" s="819" t="str">
        <f>E5</f>
        <v>도시계획</v>
      </c>
      <c r="M5" s="819" t="str">
        <f t="shared" ref="M5:Q5" si="0">F5</f>
        <v>토질지질</v>
      </c>
      <c r="N5" s="819" t="str">
        <f t="shared" si="0"/>
        <v>도로공항</v>
      </c>
      <c r="O5" s="819" t="str">
        <f t="shared" si="0"/>
        <v>토목구조</v>
      </c>
      <c r="P5" s="819" t="str">
        <f t="shared" si="0"/>
        <v>상하수도</v>
      </c>
      <c r="Q5" s="819" t="str">
        <f t="shared" si="0"/>
        <v>조경</v>
      </c>
      <c r="R5" s="843" t="s">
        <v>782</v>
      </c>
      <c r="S5" s="820" t="str">
        <f>L5</f>
        <v>도시계획</v>
      </c>
      <c r="T5" s="820" t="str">
        <f t="shared" ref="T5:X5" si="1">M5</f>
        <v>토질지질</v>
      </c>
      <c r="U5" s="820" t="str">
        <f t="shared" si="1"/>
        <v>도로공항</v>
      </c>
      <c r="V5" s="820" t="str">
        <f t="shared" si="1"/>
        <v>토목구조</v>
      </c>
      <c r="W5" s="820" t="str">
        <f t="shared" si="1"/>
        <v>상하수도</v>
      </c>
      <c r="X5" s="820" t="str">
        <f t="shared" si="1"/>
        <v>조경</v>
      </c>
      <c r="Y5" s="844" t="s">
        <v>783</v>
      </c>
    </row>
    <row r="6" spans="1:27" ht="42" customHeight="1">
      <c r="B6" s="821" t="s">
        <v>775</v>
      </c>
      <c r="C6" s="822" t="s">
        <v>416</v>
      </c>
      <c r="D6" s="823">
        <f>중첩신고!H9</f>
        <v>8.8666666666666671</v>
      </c>
      <c r="E6" s="824">
        <f>중첩신고!H18</f>
        <v>20.966666666666665</v>
      </c>
      <c r="F6" s="687">
        <f>중첩신고!H26</f>
        <v>34.200000000000003</v>
      </c>
      <c r="G6" s="687">
        <f>중첩신고!H38</f>
        <v>29.966666666666665</v>
      </c>
      <c r="H6" s="687">
        <f>중첩신고!H45</f>
        <v>36.533333333333331</v>
      </c>
      <c r="I6" s="687">
        <f>중첩신고!H52</f>
        <v>11.933333333333334</v>
      </c>
      <c r="J6" s="687" t="s">
        <v>784</v>
      </c>
      <c r="K6" s="825"/>
      <c r="L6" s="826">
        <f>중첩신고!H61</f>
        <v>20.966666666666665</v>
      </c>
      <c r="M6" s="688">
        <f>중첩신고!H69</f>
        <v>34.200000000000003</v>
      </c>
      <c r="N6" s="688">
        <f>중첩신고!H78</f>
        <v>25.366666666666667</v>
      </c>
      <c r="O6" s="688">
        <f>중첩신고!H85</f>
        <v>85.233333333333334</v>
      </c>
      <c r="P6" s="688">
        <f>중첩신고!H92</f>
        <v>11.933333333333334</v>
      </c>
      <c r="Q6" s="845" t="s">
        <v>785</v>
      </c>
      <c r="R6" s="825"/>
      <c r="S6" s="827">
        <f>중첩신고!H101</f>
        <v>20.966666666666665</v>
      </c>
      <c r="T6" s="688">
        <f>중첩신고!H109</f>
        <v>34.200000000000003</v>
      </c>
      <c r="U6" s="688">
        <f>중첩신고!H118</f>
        <v>25.366666666666667</v>
      </c>
      <c r="V6" s="688">
        <f>중첩신고!H125</f>
        <v>85.233333333333334</v>
      </c>
      <c r="W6" s="688">
        <f>중첩신고!H132</f>
        <v>11.933333333333334</v>
      </c>
      <c r="X6" s="688" t="s">
        <v>786</v>
      </c>
      <c r="Y6" s="828"/>
    </row>
    <row r="7" spans="1:27" ht="42" customHeight="1">
      <c r="B7" s="829" t="s">
        <v>776</v>
      </c>
      <c r="C7" s="1163" t="s">
        <v>787</v>
      </c>
      <c r="D7" s="1165">
        <f t="shared" ref="D7:I7" si="2">D6/$Y$2</f>
        <v>0.24629629629629632</v>
      </c>
      <c r="E7" s="1167">
        <f t="shared" si="2"/>
        <v>0.58240740740740737</v>
      </c>
      <c r="F7" s="1169">
        <f t="shared" si="2"/>
        <v>0.95000000000000007</v>
      </c>
      <c r="G7" s="1169">
        <f t="shared" si="2"/>
        <v>0.83240740740740737</v>
      </c>
      <c r="H7" s="1169">
        <f t="shared" si="2"/>
        <v>1.0148148148148148</v>
      </c>
      <c r="I7" s="1169">
        <f t="shared" si="2"/>
        <v>0.33148148148148149</v>
      </c>
      <c r="J7" s="1169"/>
      <c r="K7" s="1171"/>
      <c r="L7" s="1173">
        <f>L6/$Y$2</f>
        <v>0.58240740740740737</v>
      </c>
      <c r="M7" s="1175">
        <f>M6/$Y$2</f>
        <v>0.95000000000000007</v>
      </c>
      <c r="N7" s="1175">
        <f>N6/$Y$2</f>
        <v>0.70462962962962961</v>
      </c>
      <c r="O7" s="1175">
        <f>O6/$Y$2</f>
        <v>2.3675925925925925</v>
      </c>
      <c r="P7" s="1175">
        <f>P6/$Y$2</f>
        <v>0.33148148148148149</v>
      </c>
      <c r="Q7" s="1169"/>
      <c r="R7" s="1171"/>
      <c r="S7" s="1175">
        <f>S6/$Y$2</f>
        <v>0.58240740740740737</v>
      </c>
      <c r="T7" s="1175">
        <f>T6/$Y$2</f>
        <v>0.95000000000000007</v>
      </c>
      <c r="U7" s="1175">
        <f>U6/$Y$2</f>
        <v>0.70462962962962961</v>
      </c>
      <c r="V7" s="1175">
        <f>V6/$Y$2</f>
        <v>2.3675925925925925</v>
      </c>
      <c r="W7" s="1175">
        <f>W6/$Y$2</f>
        <v>0.33148148148148149</v>
      </c>
      <c r="X7" s="1175"/>
      <c r="Y7" s="1177"/>
    </row>
    <row r="8" spans="1:27" ht="42" customHeight="1">
      <c r="B8" s="829" t="s">
        <v>777</v>
      </c>
      <c r="C8" s="1164"/>
      <c r="D8" s="1166"/>
      <c r="E8" s="1168"/>
      <c r="F8" s="1170"/>
      <c r="G8" s="1170"/>
      <c r="H8" s="1170"/>
      <c r="I8" s="1170"/>
      <c r="J8" s="1170"/>
      <c r="K8" s="1172"/>
      <c r="L8" s="1174"/>
      <c r="M8" s="1176"/>
      <c r="N8" s="1176"/>
      <c r="O8" s="1176"/>
      <c r="P8" s="1176"/>
      <c r="Q8" s="1170"/>
      <c r="R8" s="1172"/>
      <c r="S8" s="1176"/>
      <c r="T8" s="1176"/>
      <c r="U8" s="1176"/>
      <c r="V8" s="1176"/>
      <c r="W8" s="1176"/>
      <c r="X8" s="1176"/>
      <c r="Y8" s="1178"/>
    </row>
    <row r="9" spans="1:27" ht="42" customHeight="1" thickBot="1">
      <c r="B9" s="830"/>
      <c r="C9" s="535" t="s">
        <v>788</v>
      </c>
      <c r="D9" s="831">
        <f>IF(D7&lt;$D$11,$D$12,IF(D7&lt;$E$11,$E$12,IF(D7&lt;F11,F12,IF(D7&lt;G11,G12,IF(D7&gt;=H11,H12)))))</f>
        <v>3</v>
      </c>
      <c r="E9" s="832">
        <f>IF(E7&lt;$D$11,$D$13,IF(E7&lt;$E$11,$E$13,IF(E7&lt;$F$11,$F$13,IF(E7&lt;$G$11,$G$13,IF(E7&gt;=$H$11,$H$13)))))*배점기준!D3/SUM(배점기준!D3:D7)</f>
        <v>1.3333333333333333</v>
      </c>
      <c r="F9" s="832">
        <f>IF(F7&lt;$D$11,$D$13,IF(F7&lt;$E$11,$E$13,IF(F7&lt;$F$11,$F$13,IF(F7&lt;$G$11,$G$13,IF(F7&gt;=$H$11,$H$13)))))*배점기준!D4/SUM(배점기준!D3:D7)</f>
        <v>0.44444444444444448</v>
      </c>
      <c r="G9" s="832">
        <f>IF(G7&lt;$D$11,$D$13,IF(G7&lt;$E$11,$E$13,IF(G7&lt;$F$11,$F$13,IF(G7&lt;$G$11,$G$13,IF(G7&gt;=$H$11,$H$13)))))*배점기준!D5/SUM(배점기준!D3:D7)</f>
        <v>1.1111111111111112</v>
      </c>
      <c r="H9" s="832">
        <f>IF(H7&lt;$D$11,$D$13,IF(H7&lt;$E$11,$E$13,IF(H7&lt;$F$11,$F$13,IF(H7&lt;$G$11,$G$13,IF(H7&gt;=$H$11,$H$13)))))*배점기준!D6/SUM(배점기준!D3:D7)</f>
        <v>0.44444444444444448</v>
      </c>
      <c r="I9" s="832">
        <f>IF(I7&lt;$D$11,$D$13,IF(I7&lt;$E$11,$E$13,IF(I7&lt;$F$11,$F$13,IF(I7&lt;$G$11,$G$13,IF(I7&gt;=$H$11,$H$13)))))*배점기준!D7/SUM(배점기준!D3:D7)</f>
        <v>0.66666666666666663</v>
      </c>
      <c r="J9" s="832"/>
      <c r="K9" s="833">
        <f>SUM(E9:J9)</f>
        <v>4</v>
      </c>
      <c r="L9" s="554">
        <f>IF(L7&lt;$D$11,$D$14,IF(L7&lt;$E$11,$E$14,IF(L7&lt;$F$11,$F$14,IF(L7&lt;$G$11,$G$14,IF(L7&gt;=$H$11,$H$14)))))*[2]배점기준!D3/SUM(배점기준!D3:D7)</f>
        <v>0.66666666666666663</v>
      </c>
      <c r="M9" s="832">
        <f>IF(M7&lt;$D$11,$D$14,IF(M7&lt;$E$11,$E$14,IF(M7&lt;$F$11,$F$14,IF(M7&lt;$G$11,$G$14,IF(M7&gt;=$H$11,$H$14)))))*[2]배점기준!D4/SUM(배점기준!D3:D7)</f>
        <v>0.33333333333333331</v>
      </c>
      <c r="N9" s="832">
        <f>IF(N7&lt;$D$11,$D$14,IF(N7&lt;$E$11,$E$14,IF(N7&lt;$F$11,$F$14,IF(N7&lt;$G$11,$G$14,IF(N7&gt;=$H$11,$H$14)))))*[2]배점기준!D5/SUM(배점기준!D3:D7)</f>
        <v>0.33333333333333331</v>
      </c>
      <c r="O9" s="832">
        <f>IF(O7&lt;$D$11,$D$14,IF(O7&lt;$E$11,$E$14,IF(O7&lt;$F$11,$F$14,IF(O7&lt;$G$11,$G$14,IF(O7&gt;=$H$11,$H$14)))))*[2]배점기준!D6/SUM(배점기준!D3:D7)</f>
        <v>0.3</v>
      </c>
      <c r="P9" s="832">
        <f>IF(P7&lt;$D$11,$D$14,IF(P7&lt;$E$11,$E$14,IF(P7&lt;$F$11,$F$14,IF(P7&lt;$G$11,$G$14,IF(P7&gt;=$H$11,$H$14)))))*[2]배점기준!D7/SUM(배점기준!D3:D7)</f>
        <v>0.33333333333333331</v>
      </c>
      <c r="Q9" s="832"/>
      <c r="R9" s="833">
        <f>SUM(L9:Q9)</f>
        <v>1.9666666666666666</v>
      </c>
      <c r="S9" s="834">
        <f>IF(S7&lt;$D$11,$D$15,IF(S7&lt;$E$11,$E$15,IF(S7&lt;$F$11,$F$15,IF(S7&lt;$G$11,$G$15,IF(S7&gt;=$H$11,$H$15)))))*[2]배점기준!D3/SUM(배점기준!D3:D7)</f>
        <v>0.33333333333333331</v>
      </c>
      <c r="T9" s="832">
        <f>IF(T7&lt;$D$11,$D$15,IF(T7&lt;$E$11,$E$15,IF(T7&lt;$F$11,$F$15,IF(T7&lt;$G$11,$G$15,IF(T7&gt;=$H$11,$H$15)))))*[2]배점기준!D4/SUM(배점기준!D3:D7)</f>
        <v>0.16666666666666666</v>
      </c>
      <c r="U9" s="832">
        <f>IF(U7&lt;$D$11,$D$15,IF(U7&lt;$E$11,$E$15,IF(U7&lt;$F$11,$F$15,IF(U7&lt;$G$11,$G$15,IF(U7&gt;=$H$11,$H$15)))))*[2]배점기준!D5/SUM(배점기준!D3:D7)</f>
        <v>0.16666666666666666</v>
      </c>
      <c r="V9" s="832">
        <f>IF(V7&lt;$D$11,$D$15,IF(V7&lt;$E$11,$E$15,IF(V7&lt;$F$11,$F$15,IF(V7&lt;$G$11,$G$15,IF(V7&gt;=$H$11,$H$15)))))*[2]배점기준!D6/SUM(배점기준!D3:D7)</f>
        <v>0.15</v>
      </c>
      <c r="W9" s="832">
        <f>IF(W7&lt;$D$11,$D$15,IF(W7&lt;$E$11,$E$15,IF(W7&lt;$F$11,$F$15,IF(W7&lt;$G$11,$G$15,IF(W7&gt;=$H$11,$H$15)))))*[2]배점기준!D7/SUM(배점기준!D3:D7)</f>
        <v>0.16666666666666666</v>
      </c>
      <c r="X9" s="832"/>
      <c r="Y9" s="835">
        <f>SUM(S9:X9)</f>
        <v>0.98333333333333328</v>
      </c>
    </row>
    <row r="10" spans="1:27" ht="22.5" customHeight="1" thickBot="1">
      <c r="B10" s="317"/>
      <c r="C10" s="332"/>
      <c r="D10" s="335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6"/>
      <c r="T10" s="336"/>
      <c r="U10" s="336"/>
      <c r="V10" s="336"/>
      <c r="W10" s="336"/>
      <c r="X10" s="336"/>
      <c r="Y10" s="336"/>
    </row>
    <row r="11" spans="1:27" ht="26.25" customHeight="1">
      <c r="B11" s="1179" t="s">
        <v>789</v>
      </c>
      <c r="C11" s="337" t="s">
        <v>790</v>
      </c>
      <c r="D11" s="836">
        <v>2</v>
      </c>
      <c r="E11" s="836">
        <v>2.5</v>
      </c>
      <c r="F11" s="836">
        <v>3</v>
      </c>
      <c r="G11" s="836">
        <v>3.5</v>
      </c>
      <c r="H11" s="837">
        <v>3.5</v>
      </c>
      <c r="I11" s="838"/>
      <c r="J11" s="839"/>
      <c r="L11" s="25"/>
      <c r="M11" s="840"/>
      <c r="N11" s="840"/>
      <c r="O11" s="840"/>
      <c r="P11" s="840"/>
      <c r="Q11" s="839"/>
      <c r="R11" s="537"/>
      <c r="S11" s="334"/>
      <c r="T11" s="334"/>
      <c r="U11" s="334"/>
      <c r="V11" s="334"/>
      <c r="W11" s="334"/>
      <c r="X11" s="334"/>
      <c r="Y11" s="334"/>
    </row>
    <row r="12" spans="1:27" ht="26.25" customHeight="1">
      <c r="B12" s="1180"/>
      <c r="C12" s="281" t="s">
        <v>780</v>
      </c>
      <c r="D12" s="339">
        <f>[2]배점기준!C113</f>
        <v>3</v>
      </c>
      <c r="E12" s="339">
        <f>$D$12*0.9</f>
        <v>2.7</v>
      </c>
      <c r="F12" s="339">
        <f>$D$12*0.8</f>
        <v>2.4000000000000004</v>
      </c>
      <c r="G12" s="339">
        <f>$D$12*0.7</f>
        <v>2.0999999999999996</v>
      </c>
      <c r="H12" s="340">
        <f>$D$12*0.6</f>
        <v>1.7999999999999998</v>
      </c>
      <c r="I12" s="841"/>
      <c r="J12" s="538"/>
      <c r="L12" s="25"/>
      <c r="M12" s="538"/>
      <c r="N12" s="538"/>
      <c r="O12" s="538"/>
      <c r="P12" s="538"/>
      <c r="Q12" s="538"/>
      <c r="R12" s="538"/>
      <c r="S12" s="334"/>
      <c r="T12" s="334"/>
      <c r="U12" s="334"/>
      <c r="V12" s="334"/>
      <c r="W12" s="334"/>
      <c r="X12" s="334"/>
      <c r="Y12" s="334"/>
    </row>
    <row r="13" spans="1:27" ht="26.25" customHeight="1">
      <c r="B13" s="1180"/>
      <c r="C13" s="281" t="s">
        <v>791</v>
      </c>
      <c r="D13" s="339">
        <f>[2]배점기준!C114</f>
        <v>4</v>
      </c>
      <c r="E13" s="339">
        <f>$D$13*0.9</f>
        <v>3.6</v>
      </c>
      <c r="F13" s="339">
        <f>$D$13*0.8</f>
        <v>3.2</v>
      </c>
      <c r="G13" s="339">
        <f>$D$13*0.7</f>
        <v>2.8</v>
      </c>
      <c r="H13" s="340">
        <f>$D$13*0.6</f>
        <v>2.4</v>
      </c>
      <c r="I13" s="841"/>
      <c r="J13" s="538"/>
      <c r="L13" s="25"/>
      <c r="M13" s="538"/>
      <c r="N13" s="538"/>
      <c r="O13" s="538"/>
      <c r="P13" s="538"/>
      <c r="Q13" s="538"/>
      <c r="R13" s="538"/>
      <c r="S13" s="334"/>
      <c r="T13" s="334"/>
      <c r="U13" s="334"/>
      <c r="V13" s="334"/>
      <c r="W13" s="334"/>
      <c r="X13" s="334"/>
      <c r="Y13" s="334"/>
      <c r="AA13" s="522"/>
    </row>
    <row r="14" spans="1:27" ht="26.25" customHeight="1">
      <c r="B14" s="1180"/>
      <c r="C14" s="281" t="s">
        <v>792</v>
      </c>
      <c r="D14" s="339">
        <f>[2]배점기준!C120</f>
        <v>2</v>
      </c>
      <c r="E14" s="339">
        <f>$D$14*0.9</f>
        <v>1.8</v>
      </c>
      <c r="F14" s="339">
        <f>$D$14*0.8</f>
        <v>1.6</v>
      </c>
      <c r="G14" s="339">
        <f>$D$14*0.7</f>
        <v>1.4</v>
      </c>
      <c r="H14" s="340">
        <f>$D$14*0.6</f>
        <v>1.2</v>
      </c>
      <c r="I14" s="841"/>
      <c r="J14" s="538"/>
      <c r="L14" s="25"/>
      <c r="M14" s="538"/>
      <c r="N14" s="538"/>
      <c r="O14" s="538"/>
      <c r="P14" s="538"/>
      <c r="Q14" s="538"/>
      <c r="R14" s="538"/>
      <c r="S14" s="334"/>
      <c r="T14" s="334"/>
      <c r="U14" s="334"/>
      <c r="V14" s="334"/>
      <c r="W14" s="334"/>
      <c r="X14" s="334"/>
      <c r="Y14" s="334"/>
      <c r="AA14" s="522"/>
    </row>
    <row r="15" spans="1:27" ht="26.25" customHeight="1" thickBot="1">
      <c r="B15" s="1181"/>
      <c r="C15" s="338" t="s">
        <v>793</v>
      </c>
      <c r="D15" s="341">
        <f>[2]배점기준!C126</f>
        <v>1</v>
      </c>
      <c r="E15" s="341">
        <f>$D$15*0.9</f>
        <v>0.9</v>
      </c>
      <c r="F15" s="341">
        <f>$D$15*0.8</f>
        <v>0.8</v>
      </c>
      <c r="G15" s="341">
        <f>$D$15*0.7</f>
        <v>0.7</v>
      </c>
      <c r="H15" s="342">
        <f>$D$15*0.6</f>
        <v>0.6</v>
      </c>
      <c r="I15" s="841"/>
      <c r="J15" s="538"/>
      <c r="L15" s="25"/>
      <c r="M15" s="538"/>
      <c r="N15" s="538"/>
      <c r="O15" s="538"/>
      <c r="P15" s="538"/>
      <c r="Q15" s="538"/>
      <c r="R15" s="538"/>
      <c r="S15" s="334"/>
      <c r="T15" s="334"/>
      <c r="U15" s="334"/>
      <c r="V15" s="334"/>
      <c r="W15" s="334"/>
      <c r="X15" s="334"/>
      <c r="Y15" s="334"/>
      <c r="AA15" s="522"/>
    </row>
    <row r="16" spans="1:27" ht="9.75" customHeight="1">
      <c r="B16" s="174"/>
      <c r="C16" s="172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11"/>
      <c r="AA16" s="522"/>
    </row>
    <row r="17" spans="1:26" s="245" customFormat="1" ht="15.95" customHeight="1">
      <c r="A17" s="158" t="s">
        <v>228</v>
      </c>
      <c r="B17" s="159" t="s">
        <v>248</v>
      </c>
      <c r="C17" s="252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</row>
    <row r="18" spans="1:26" s="245" customFormat="1" ht="15.95" customHeight="1">
      <c r="A18" s="247" t="s">
        <v>417</v>
      </c>
      <c r="B18" s="159" t="s">
        <v>418</v>
      </c>
      <c r="C18" s="252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</row>
    <row r="19" spans="1:26" s="245" customFormat="1" ht="15.95" customHeight="1">
      <c r="A19" s="247" t="s">
        <v>419</v>
      </c>
      <c r="B19" s="159" t="s">
        <v>794</v>
      </c>
      <c r="C19" s="252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</row>
    <row r="20" spans="1:26" s="245" customFormat="1" ht="15.95" customHeight="1">
      <c r="A20" s="247" t="s">
        <v>420</v>
      </c>
      <c r="B20" s="159" t="s">
        <v>795</v>
      </c>
      <c r="C20" s="252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</row>
    <row r="21" spans="1:26" ht="15.95" customHeight="1">
      <c r="O21" s="548"/>
    </row>
  </sheetData>
  <mergeCells count="26">
    <mergeCell ref="B11:B15"/>
    <mergeCell ref="T7:T8"/>
    <mergeCell ref="U7:U8"/>
    <mergeCell ref="V7:V8"/>
    <mergeCell ref="W7:W8"/>
    <mergeCell ref="O7:O8"/>
    <mergeCell ref="P7:P8"/>
    <mergeCell ref="Q7:Q8"/>
    <mergeCell ref="R7:R8"/>
    <mergeCell ref="S7:S8"/>
    <mergeCell ref="B4:B5"/>
    <mergeCell ref="C4:Y4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Y7:Y8"/>
    <mergeCell ref="X7:X8"/>
  </mergeCells>
  <phoneticPr fontId="2" type="noConversion"/>
  <pageMargins left="0.74803149606299213" right="0.74803149606299213" top="1.3" bottom="0.98425196850393704" header="0.51181102362204722" footer="0.51181102362204722"/>
  <pageSetup paperSize="9" scale="51" orientation="landscape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41"/>
  </sheetPr>
  <dimension ref="A1:U152"/>
  <sheetViews>
    <sheetView view="pageBreakPreview" zoomScaleNormal="70" zoomScaleSheetLayoutView="100" workbookViewId="0">
      <selection activeCell="K9" sqref="K9"/>
    </sheetView>
  </sheetViews>
  <sheetFormatPr defaultRowHeight="15.95" customHeight="1"/>
  <cols>
    <col min="1" max="1" width="1.33203125" style="2" customWidth="1"/>
    <col min="2" max="2" width="4.33203125" style="25" customWidth="1"/>
    <col min="3" max="3" width="33.5546875" style="86" customWidth="1"/>
    <col min="4" max="4" width="12.44140625" style="86" customWidth="1"/>
    <col min="5" max="5" width="12.44140625" style="25" customWidth="1"/>
    <col min="6" max="6" width="8.77734375" style="236" customWidth="1"/>
    <col min="7" max="7" width="8.77734375" style="93" customWidth="1"/>
    <col min="8" max="8" width="12.109375" style="93" customWidth="1"/>
    <col min="9" max="9" width="10.77734375" style="93" customWidth="1"/>
    <col min="10" max="10" width="15.77734375" style="93" customWidth="1"/>
    <col min="11" max="11" width="10.33203125" style="93" customWidth="1"/>
    <col min="12" max="14" width="8.44140625" style="25" customWidth="1"/>
    <col min="15" max="17" width="7.109375" style="25" customWidth="1"/>
    <col min="18" max="20" width="7.109375" style="2" customWidth="1"/>
    <col min="21" max="24" width="6" style="2" customWidth="1"/>
    <col min="25" max="25" width="5.44140625" style="2" customWidth="1"/>
    <col min="26" max="26" width="7" style="2" customWidth="1"/>
    <col min="27" max="16384" width="8.88671875" style="2"/>
  </cols>
  <sheetData>
    <row r="1" spans="1:21" s="8" customFormat="1" ht="28.5" customHeight="1">
      <c r="A1" s="591" t="s">
        <v>68</v>
      </c>
      <c r="B1" s="592"/>
      <c r="C1" s="593"/>
      <c r="D1" s="593"/>
      <c r="E1" s="78"/>
      <c r="F1" s="232"/>
      <c r="G1" s="177"/>
      <c r="H1" s="177"/>
      <c r="I1" s="177"/>
      <c r="J1" s="177"/>
      <c r="K1" s="177"/>
      <c r="L1" s="78"/>
      <c r="M1" s="78"/>
      <c r="N1" s="78"/>
      <c r="O1" s="78"/>
      <c r="P1" s="78"/>
      <c r="Q1" s="78"/>
    </row>
    <row r="2" spans="1:21" s="8" customFormat="1" ht="23.25" customHeight="1">
      <c r="A2" s="591"/>
      <c r="B2" s="1198" t="s">
        <v>796</v>
      </c>
      <c r="C2" s="1198"/>
      <c r="D2" s="592"/>
      <c r="E2" s="232"/>
      <c r="F2" s="177"/>
      <c r="G2" s="177"/>
      <c r="H2" s="232"/>
      <c r="I2" s="177"/>
      <c r="J2" s="177"/>
      <c r="K2" s="78"/>
      <c r="L2" s="78"/>
      <c r="M2" s="78"/>
      <c r="N2" s="78"/>
      <c r="O2" s="78"/>
      <c r="P2" s="78"/>
    </row>
    <row r="3" spans="1:21" s="8" customFormat="1" ht="8.25" customHeight="1">
      <c r="A3" s="591"/>
      <c r="B3" s="592"/>
      <c r="C3" s="593"/>
      <c r="D3" s="593"/>
      <c r="E3" s="78"/>
      <c r="F3" s="232"/>
      <c r="G3" s="177"/>
      <c r="H3" s="177"/>
      <c r="I3" s="177"/>
      <c r="J3" s="177"/>
      <c r="K3" s="177"/>
      <c r="L3" s="78"/>
      <c r="M3" s="78"/>
      <c r="N3" s="78"/>
      <c r="O3" s="78"/>
      <c r="P3" s="78"/>
      <c r="Q3" s="78"/>
    </row>
    <row r="4" spans="1:21" s="210" customFormat="1" ht="20.25" customHeight="1">
      <c r="B4" s="329" t="s">
        <v>676</v>
      </c>
      <c r="C4" s="330"/>
      <c r="D4" s="330"/>
      <c r="E4" s="330"/>
      <c r="F4" s="330"/>
      <c r="G4" s="212"/>
      <c r="H4" s="212"/>
      <c r="I4" s="212"/>
      <c r="J4" s="212"/>
      <c r="K4" s="212"/>
      <c r="L4" s="211"/>
      <c r="M4" s="211"/>
      <c r="N4" s="213"/>
      <c r="O4" s="211"/>
      <c r="P4" s="211"/>
      <c r="Q4" s="211"/>
      <c r="R4" s="214"/>
      <c r="S4" s="214"/>
      <c r="T4" s="214"/>
      <c r="U4" s="214"/>
    </row>
    <row r="5" spans="1:21" s="210" customFormat="1" ht="24.75" customHeight="1">
      <c r="B5" s="1183" t="s">
        <v>222</v>
      </c>
      <c r="C5" s="1190" t="s">
        <v>51</v>
      </c>
      <c r="D5" s="1192" t="s">
        <v>69</v>
      </c>
      <c r="E5" s="1193"/>
      <c r="F5" s="1194" t="s">
        <v>284</v>
      </c>
      <c r="G5" s="1183" t="s">
        <v>75</v>
      </c>
      <c r="H5" s="1183" t="s">
        <v>285</v>
      </c>
      <c r="I5" s="1183" t="s">
        <v>70</v>
      </c>
      <c r="J5" s="1183" t="s">
        <v>71</v>
      </c>
      <c r="K5" s="222" t="s">
        <v>811</v>
      </c>
      <c r="L5" s="211"/>
      <c r="M5" s="211"/>
      <c r="N5" s="213"/>
      <c r="O5" s="211"/>
      <c r="P5" s="211"/>
      <c r="Q5" s="211"/>
      <c r="R5" s="214"/>
      <c r="S5" s="214"/>
      <c r="T5" s="214"/>
      <c r="U5" s="214"/>
    </row>
    <row r="6" spans="1:21" s="210" customFormat="1" ht="24.75" customHeight="1">
      <c r="B6" s="1184"/>
      <c r="C6" s="1191"/>
      <c r="D6" s="175" t="s">
        <v>72</v>
      </c>
      <c r="E6" s="215" t="s">
        <v>73</v>
      </c>
      <c r="F6" s="1195"/>
      <c r="G6" s="1184"/>
      <c r="H6" s="1184"/>
      <c r="I6" s="1184"/>
      <c r="J6" s="1184"/>
      <c r="K6" s="560">
        <v>42234</v>
      </c>
      <c r="L6" s="211"/>
      <c r="M6" s="211"/>
      <c r="N6" s="213"/>
      <c r="O6" s="211"/>
      <c r="P6" s="211"/>
      <c r="Q6" s="211"/>
      <c r="R6" s="214"/>
      <c r="S6" s="214"/>
      <c r="T6" s="214"/>
      <c r="U6" s="214"/>
    </row>
    <row r="7" spans="1:21" s="210" customFormat="1" ht="62.1" customHeight="1">
      <c r="B7" s="217">
        <v>1</v>
      </c>
      <c r="C7" s="525" t="s">
        <v>679</v>
      </c>
      <c r="D7" s="216">
        <v>41599</v>
      </c>
      <c r="E7" s="216">
        <v>42365</v>
      </c>
      <c r="F7" s="331">
        <f>E7-D7+1</f>
        <v>767</v>
      </c>
      <c r="G7" s="237">
        <v>395</v>
      </c>
      <c r="H7" s="331">
        <f>E7-$K$6</f>
        <v>131</v>
      </c>
      <c r="I7" s="218"/>
      <c r="J7" s="218"/>
      <c r="K7" s="218"/>
      <c r="L7" s="211"/>
      <c r="M7" s="211"/>
      <c r="N7" s="213"/>
      <c r="O7" s="211"/>
      <c r="P7" s="211"/>
      <c r="Q7" s="211"/>
      <c r="R7" s="214"/>
      <c r="S7" s="214"/>
      <c r="T7" s="214"/>
      <c r="U7" s="214"/>
    </row>
    <row r="8" spans="1:21" s="210" customFormat="1" ht="62.1" customHeight="1">
      <c r="B8" s="217">
        <v>2</v>
      </c>
      <c r="C8" s="525" t="s">
        <v>679</v>
      </c>
      <c r="D8" s="216">
        <v>41821</v>
      </c>
      <c r="E8" s="216">
        <v>42369</v>
      </c>
      <c r="F8" s="331">
        <f>E8-D8+1</f>
        <v>549</v>
      </c>
      <c r="G8" s="237">
        <v>487</v>
      </c>
      <c r="H8" s="331">
        <f>E8-$K$6</f>
        <v>135</v>
      </c>
      <c r="I8" s="218"/>
      <c r="J8" s="218"/>
      <c r="K8" s="218"/>
      <c r="L8" s="211"/>
      <c r="M8" s="211"/>
      <c r="N8" s="213"/>
      <c r="O8" s="211"/>
      <c r="P8" s="211"/>
      <c r="Q8" s="211"/>
      <c r="R8" s="214"/>
      <c r="S8" s="214"/>
      <c r="T8" s="214"/>
      <c r="U8" s="214"/>
    </row>
    <row r="9" spans="1:21" s="210" customFormat="1" ht="32.25" customHeight="1">
      <c r="B9" s="1185" t="s">
        <v>74</v>
      </c>
      <c r="C9" s="1186"/>
      <c r="D9" s="220"/>
      <c r="E9" s="221"/>
      <c r="F9" s="234"/>
      <c r="G9" s="238"/>
      <c r="H9" s="685">
        <f>SUM(H7:H8)/30</f>
        <v>8.8666666666666671</v>
      </c>
      <c r="I9" s="117"/>
      <c r="J9" s="222"/>
      <c r="K9" s="536"/>
      <c r="L9" s="211"/>
      <c r="M9" s="211"/>
      <c r="N9" s="213"/>
      <c r="O9" s="211"/>
      <c r="P9" s="211"/>
      <c r="Q9" s="211"/>
      <c r="R9" s="214"/>
      <c r="S9" s="214"/>
      <c r="T9" s="214"/>
      <c r="U9" s="214"/>
    </row>
    <row r="10" spans="1:21" s="210" customFormat="1" ht="18" customHeight="1">
      <c r="B10" s="223"/>
      <c r="C10" s="224"/>
      <c r="D10" s="225"/>
      <c r="E10" s="226"/>
      <c r="F10" s="227"/>
      <c r="G10" s="239"/>
      <c r="H10" s="239"/>
      <c r="I10" s="223"/>
      <c r="J10" s="223"/>
      <c r="K10" s="223"/>
      <c r="L10" s="211"/>
      <c r="M10" s="211"/>
      <c r="N10" s="213"/>
      <c r="O10" s="211"/>
      <c r="P10" s="211"/>
      <c r="Q10" s="211"/>
      <c r="R10" s="214"/>
      <c r="S10" s="214"/>
      <c r="T10" s="214"/>
      <c r="U10" s="214"/>
    </row>
    <row r="11" spans="1:21" s="210" customFormat="1" ht="27.75" customHeight="1">
      <c r="B11" s="1196" t="s">
        <v>797</v>
      </c>
      <c r="C11" s="1196"/>
      <c r="D11" s="226"/>
      <c r="E11" s="227"/>
      <c r="F11" s="239"/>
      <c r="G11" s="239"/>
      <c r="H11" s="227"/>
      <c r="I11" s="223"/>
      <c r="J11" s="223"/>
      <c r="K11" s="211"/>
      <c r="L11" s="211"/>
      <c r="M11" s="213"/>
      <c r="N11" s="211"/>
      <c r="O11" s="211"/>
      <c r="P11" s="211"/>
      <c r="Q11" s="214"/>
      <c r="R11" s="214"/>
      <c r="S11" s="214"/>
      <c r="T11" s="214"/>
    </row>
    <row r="12" spans="1:21" s="210" customFormat="1" ht="6.75" customHeight="1">
      <c r="B12" s="223"/>
      <c r="C12" s="225"/>
      <c r="D12" s="225"/>
      <c r="E12" s="226"/>
      <c r="F12" s="227"/>
      <c r="G12" s="239"/>
      <c r="H12" s="239"/>
      <c r="I12" s="223"/>
      <c r="J12" s="223"/>
      <c r="K12" s="223"/>
      <c r="L12" s="211"/>
      <c r="M12" s="211"/>
      <c r="N12" s="213"/>
      <c r="O12" s="211"/>
      <c r="P12" s="211"/>
      <c r="Q12" s="211"/>
      <c r="R12" s="214"/>
      <c r="S12" s="214"/>
      <c r="T12" s="214"/>
      <c r="U12" s="214"/>
    </row>
    <row r="13" spans="1:21" s="210" customFormat="1" ht="24.75" customHeight="1">
      <c r="B13" s="329" t="s">
        <v>677</v>
      </c>
      <c r="C13" s="330"/>
      <c r="D13" s="330"/>
      <c r="E13" s="330"/>
      <c r="F13" s="233"/>
      <c r="G13" s="212"/>
      <c r="H13" s="212"/>
      <c r="I13" s="212"/>
      <c r="J13" s="212"/>
      <c r="K13" s="212"/>
      <c r="L13" s="211"/>
      <c r="M13" s="211"/>
      <c r="N13" s="213"/>
      <c r="O13" s="211"/>
      <c r="P13" s="211"/>
      <c r="Q13" s="211"/>
      <c r="R13" s="214"/>
      <c r="S13" s="214"/>
      <c r="T13" s="214"/>
      <c r="U13" s="214"/>
    </row>
    <row r="14" spans="1:21" s="210" customFormat="1" ht="24" customHeight="1">
      <c r="B14" s="1183" t="s">
        <v>222</v>
      </c>
      <c r="C14" s="1190" t="s">
        <v>51</v>
      </c>
      <c r="D14" s="1192" t="s">
        <v>69</v>
      </c>
      <c r="E14" s="1193"/>
      <c r="F14" s="1194" t="s">
        <v>284</v>
      </c>
      <c r="G14" s="1183" t="s">
        <v>75</v>
      </c>
      <c r="H14" s="1183" t="s">
        <v>285</v>
      </c>
      <c r="I14" s="1183" t="s">
        <v>70</v>
      </c>
      <c r="J14" s="1183" t="s">
        <v>71</v>
      </c>
      <c r="K14" s="222" t="s">
        <v>812</v>
      </c>
      <c r="L14" s="211"/>
      <c r="M14" s="211"/>
      <c r="N14" s="213"/>
      <c r="O14" s="211"/>
      <c r="P14" s="211"/>
      <c r="Q14" s="211"/>
      <c r="R14" s="214"/>
      <c r="S14" s="214"/>
      <c r="T14" s="214"/>
      <c r="U14" s="214"/>
    </row>
    <row r="15" spans="1:21" s="210" customFormat="1" ht="24" customHeight="1">
      <c r="B15" s="1184"/>
      <c r="C15" s="1191"/>
      <c r="D15" s="175" t="s">
        <v>72</v>
      </c>
      <c r="E15" s="215" t="s">
        <v>73</v>
      </c>
      <c r="F15" s="1195"/>
      <c r="G15" s="1184"/>
      <c r="H15" s="1184"/>
      <c r="I15" s="1184"/>
      <c r="J15" s="1184"/>
      <c r="K15" s="560">
        <f>K6</f>
        <v>42234</v>
      </c>
      <c r="L15" s="211"/>
      <c r="M15" s="211"/>
      <c r="N15" s="213"/>
      <c r="O15" s="211"/>
      <c r="P15" s="211"/>
      <c r="Q15" s="211"/>
      <c r="R15" s="214"/>
      <c r="S15" s="214"/>
      <c r="T15" s="214"/>
      <c r="U15" s="214"/>
    </row>
    <row r="16" spans="1:21" s="210" customFormat="1" ht="42" customHeight="1">
      <c r="B16" s="217">
        <v>1</v>
      </c>
      <c r="C16" s="190" t="s">
        <v>680</v>
      </c>
      <c r="D16" s="216">
        <v>42153</v>
      </c>
      <c r="E16" s="216">
        <v>42523</v>
      </c>
      <c r="F16" s="331">
        <f>E16-D16+1</f>
        <v>371</v>
      </c>
      <c r="G16" s="237">
        <v>880</v>
      </c>
      <c r="H16" s="570">
        <f>(E16-$K$15)</f>
        <v>289</v>
      </c>
      <c r="I16" s="218"/>
      <c r="J16" s="218"/>
      <c r="K16" s="218"/>
      <c r="L16" s="211"/>
      <c r="M16" s="213"/>
      <c r="N16" s="211"/>
      <c r="O16" s="211"/>
      <c r="P16" s="211"/>
      <c r="Q16" s="214"/>
      <c r="R16" s="214"/>
      <c r="S16" s="214"/>
      <c r="T16" s="214"/>
    </row>
    <row r="17" spans="2:21" s="210" customFormat="1" ht="42" customHeight="1">
      <c r="B17" s="217">
        <v>2</v>
      </c>
      <c r="C17" s="190" t="s">
        <v>680</v>
      </c>
      <c r="D17" s="216">
        <v>42118</v>
      </c>
      <c r="E17" s="216">
        <v>42574</v>
      </c>
      <c r="F17" s="331">
        <f>E17-D17+1</f>
        <v>457</v>
      </c>
      <c r="G17" s="237">
        <v>440</v>
      </c>
      <c r="H17" s="570">
        <f>(E17-$K$15)</f>
        <v>340</v>
      </c>
      <c r="I17" s="216"/>
      <c r="J17" s="219"/>
      <c r="K17" s="218"/>
      <c r="L17" s="211"/>
      <c r="M17" s="213"/>
      <c r="N17" s="211"/>
      <c r="O17" s="211"/>
      <c r="P17" s="211"/>
      <c r="Q17" s="214"/>
      <c r="R17" s="214"/>
      <c r="S17" s="214"/>
      <c r="T17" s="214"/>
    </row>
    <row r="18" spans="2:21" s="210" customFormat="1" ht="30.75" customHeight="1">
      <c r="B18" s="1185" t="s">
        <v>74</v>
      </c>
      <c r="C18" s="1186"/>
      <c r="D18" s="220"/>
      <c r="E18" s="221"/>
      <c r="F18" s="234"/>
      <c r="G18" s="238"/>
      <c r="H18" s="685">
        <f>SUM(H16:H17)/30</f>
        <v>20.966666666666665</v>
      </c>
      <c r="I18" s="117"/>
      <c r="J18" s="222"/>
      <c r="K18" s="536"/>
      <c r="L18" s="211"/>
      <c r="M18" s="211"/>
      <c r="N18" s="213"/>
      <c r="O18" s="211"/>
      <c r="P18" s="211"/>
      <c r="Q18" s="211"/>
      <c r="R18" s="214"/>
      <c r="S18" s="214"/>
      <c r="T18" s="214"/>
      <c r="U18" s="214"/>
    </row>
    <row r="19" spans="2:21" s="210" customFormat="1" ht="24.75" customHeight="1">
      <c r="B19" s="329" t="s">
        <v>678</v>
      </c>
      <c r="C19" s="330"/>
      <c r="D19" s="330"/>
      <c r="E19" s="330"/>
      <c r="F19" s="233"/>
      <c r="G19" s="212"/>
      <c r="H19" s="212"/>
      <c r="I19" s="212"/>
      <c r="J19" s="212"/>
      <c r="K19" s="212"/>
      <c r="L19" s="211"/>
      <c r="M19" s="211"/>
      <c r="N19" s="213"/>
      <c r="O19" s="211"/>
      <c r="P19" s="211"/>
      <c r="Q19" s="211"/>
      <c r="R19" s="214"/>
      <c r="S19" s="214"/>
      <c r="T19" s="214"/>
      <c r="U19" s="214"/>
    </row>
    <row r="20" spans="2:21" s="210" customFormat="1" ht="24" customHeight="1">
      <c r="B20" s="1183" t="s">
        <v>25</v>
      </c>
      <c r="C20" s="1190" t="s">
        <v>26</v>
      </c>
      <c r="D20" s="1192" t="s">
        <v>69</v>
      </c>
      <c r="E20" s="1193"/>
      <c r="F20" s="1194" t="s">
        <v>284</v>
      </c>
      <c r="G20" s="1183" t="s">
        <v>75</v>
      </c>
      <c r="H20" s="1183" t="s">
        <v>285</v>
      </c>
      <c r="I20" s="1183" t="s">
        <v>70</v>
      </c>
      <c r="J20" s="1183" t="s">
        <v>71</v>
      </c>
      <c r="K20" s="222" t="s">
        <v>541</v>
      </c>
      <c r="L20" s="211"/>
      <c r="M20" s="211"/>
      <c r="N20" s="213"/>
      <c r="O20" s="211"/>
      <c r="P20" s="211"/>
      <c r="Q20" s="211"/>
      <c r="R20" s="214"/>
      <c r="S20" s="214"/>
      <c r="T20" s="214"/>
      <c r="U20" s="214"/>
    </row>
    <row r="21" spans="2:21" s="210" customFormat="1" ht="24" customHeight="1">
      <c r="B21" s="1184"/>
      <c r="C21" s="1191"/>
      <c r="D21" s="175" t="s">
        <v>72</v>
      </c>
      <c r="E21" s="215" t="s">
        <v>73</v>
      </c>
      <c r="F21" s="1195"/>
      <c r="G21" s="1184"/>
      <c r="H21" s="1184"/>
      <c r="I21" s="1184"/>
      <c r="J21" s="1184"/>
      <c r="K21" s="560">
        <f>K15</f>
        <v>42234</v>
      </c>
      <c r="L21" s="211"/>
      <c r="M21" s="211"/>
      <c r="N21" s="213"/>
      <c r="O21" s="211"/>
      <c r="P21" s="211"/>
      <c r="Q21" s="211"/>
      <c r="R21" s="214"/>
      <c r="S21" s="214"/>
      <c r="T21" s="214"/>
      <c r="U21" s="214"/>
    </row>
    <row r="22" spans="2:21" s="210" customFormat="1" ht="42" customHeight="1">
      <c r="B22" s="217">
        <v>1</v>
      </c>
      <c r="C22" s="190" t="s">
        <v>680</v>
      </c>
      <c r="D22" s="683">
        <v>41459</v>
      </c>
      <c r="E22" s="683">
        <v>42326</v>
      </c>
      <c r="F22" s="331">
        <f>E22-D22+1</f>
        <v>868</v>
      </c>
      <c r="G22" s="237">
        <v>991</v>
      </c>
      <c r="H22" s="570">
        <f>(E22-$K$15)</f>
        <v>92</v>
      </c>
      <c r="I22" s="218"/>
      <c r="J22" s="218"/>
      <c r="K22" s="218"/>
      <c r="L22" s="211"/>
      <c r="M22" s="211"/>
      <c r="N22" s="213"/>
      <c r="O22" s="211"/>
      <c r="P22" s="211"/>
      <c r="Q22" s="211"/>
      <c r="R22" s="214"/>
      <c r="S22" s="214"/>
      <c r="T22" s="214"/>
      <c r="U22" s="214"/>
    </row>
    <row r="23" spans="2:21" s="210" customFormat="1" ht="42" customHeight="1">
      <c r="B23" s="217">
        <v>2</v>
      </c>
      <c r="C23" s="190" t="s">
        <v>680</v>
      </c>
      <c r="D23" s="683">
        <v>41827</v>
      </c>
      <c r="E23" s="683">
        <v>42546</v>
      </c>
      <c r="F23" s="331">
        <f>E23-D23+1</f>
        <v>720</v>
      </c>
      <c r="G23" s="237">
        <v>602</v>
      </c>
      <c r="H23" s="570">
        <f>(E23-$K$15)</f>
        <v>312</v>
      </c>
      <c r="I23" s="218"/>
      <c r="J23" s="218"/>
      <c r="K23" s="218"/>
      <c r="L23" s="211"/>
      <c r="M23" s="211"/>
      <c r="N23" s="213"/>
      <c r="O23" s="211"/>
      <c r="P23" s="211"/>
      <c r="Q23" s="211"/>
      <c r="R23" s="214"/>
      <c r="S23" s="214"/>
      <c r="T23" s="214"/>
      <c r="U23" s="214"/>
    </row>
    <row r="24" spans="2:21" s="210" customFormat="1" ht="42" customHeight="1">
      <c r="B24" s="217">
        <v>3</v>
      </c>
      <c r="C24" s="190" t="s">
        <v>680</v>
      </c>
      <c r="D24" s="683">
        <v>41946</v>
      </c>
      <c r="E24" s="683">
        <v>42575</v>
      </c>
      <c r="F24" s="331">
        <f>E24-D24+1</f>
        <v>630</v>
      </c>
      <c r="G24" s="237">
        <v>807</v>
      </c>
      <c r="H24" s="570">
        <f>(E24-$K$15)</f>
        <v>341</v>
      </c>
      <c r="I24" s="218"/>
      <c r="J24" s="218"/>
      <c r="K24" s="218"/>
      <c r="L24" s="211"/>
      <c r="M24" s="211"/>
      <c r="N24" s="213"/>
      <c r="O24" s="211"/>
      <c r="P24" s="211"/>
      <c r="Q24" s="211"/>
      <c r="R24" s="214"/>
      <c r="S24" s="214"/>
      <c r="T24" s="214"/>
      <c r="U24" s="214"/>
    </row>
    <row r="25" spans="2:21" s="210" customFormat="1" ht="42" customHeight="1">
      <c r="B25" s="684">
        <v>4</v>
      </c>
      <c r="C25" s="190" t="s">
        <v>680</v>
      </c>
      <c r="D25" s="683">
        <v>42216</v>
      </c>
      <c r="E25" s="683">
        <v>42515</v>
      </c>
      <c r="F25" s="331">
        <f>E25-D25+1</f>
        <v>300</v>
      </c>
      <c r="G25" s="237">
        <v>481</v>
      </c>
      <c r="H25" s="570">
        <f>(E25-$K$15)</f>
        <v>281</v>
      </c>
      <c r="I25" s="216"/>
      <c r="J25" s="219"/>
      <c r="K25" s="218"/>
      <c r="L25" s="211"/>
      <c r="M25" s="211"/>
      <c r="N25" s="213"/>
      <c r="O25" s="211"/>
      <c r="P25" s="211"/>
      <c r="Q25" s="211"/>
      <c r="R25" s="214"/>
      <c r="S25" s="214"/>
      <c r="T25" s="214"/>
      <c r="U25" s="214"/>
    </row>
    <row r="26" spans="2:21" s="210" customFormat="1" ht="30.75" customHeight="1">
      <c r="B26" s="1185" t="s">
        <v>74</v>
      </c>
      <c r="C26" s="1186"/>
      <c r="D26" s="220"/>
      <c r="E26" s="221"/>
      <c r="F26" s="234"/>
      <c r="G26" s="238"/>
      <c r="H26" s="685">
        <f>SUM(H22:H25)/30</f>
        <v>34.200000000000003</v>
      </c>
      <c r="I26" s="117"/>
      <c r="J26" s="222"/>
      <c r="K26" s="536"/>
      <c r="L26" s="211"/>
      <c r="M26" s="211"/>
      <c r="N26" s="213"/>
      <c r="O26" s="211"/>
      <c r="P26" s="211"/>
      <c r="Q26" s="211"/>
      <c r="R26" s="214"/>
      <c r="S26" s="214"/>
      <c r="T26" s="214"/>
      <c r="U26" s="214"/>
    </row>
    <row r="27" spans="2:21" s="210" customFormat="1" ht="8.25" customHeight="1">
      <c r="B27" s="223"/>
      <c r="C27" s="225"/>
      <c r="D27" s="225"/>
      <c r="E27" s="226"/>
      <c r="F27" s="227"/>
      <c r="G27" s="239"/>
      <c r="H27" s="239"/>
      <c r="I27" s="223"/>
      <c r="J27" s="223"/>
      <c r="K27" s="223"/>
      <c r="L27" s="211"/>
      <c r="M27" s="211"/>
      <c r="N27" s="213"/>
      <c r="O27" s="211"/>
      <c r="P27" s="211"/>
      <c r="Q27" s="211"/>
      <c r="R27" s="214"/>
      <c r="S27" s="214"/>
      <c r="T27" s="214"/>
      <c r="U27" s="214"/>
    </row>
    <row r="28" spans="2:21" s="210" customFormat="1" ht="8.25" customHeight="1">
      <c r="B28" s="223"/>
      <c r="C28" s="225"/>
      <c r="D28" s="225"/>
      <c r="E28" s="226"/>
      <c r="F28" s="227"/>
      <c r="G28" s="239"/>
      <c r="H28" s="239"/>
      <c r="I28" s="223"/>
      <c r="J28" s="223"/>
      <c r="K28" s="223"/>
      <c r="L28" s="211"/>
      <c r="M28" s="211"/>
      <c r="N28" s="213"/>
      <c r="O28" s="211"/>
      <c r="P28" s="211"/>
      <c r="Q28" s="211"/>
      <c r="R28" s="214"/>
      <c r="S28" s="214"/>
      <c r="T28" s="214"/>
      <c r="U28" s="214"/>
    </row>
    <row r="29" spans="2:21" s="210" customFormat="1" ht="35.1" customHeight="1">
      <c r="B29" s="329" t="s">
        <v>687</v>
      </c>
      <c r="C29" s="329"/>
      <c r="D29" s="329"/>
      <c r="E29" s="329"/>
      <c r="F29" s="233"/>
      <c r="G29" s="212"/>
      <c r="H29" s="212"/>
      <c r="I29" s="212"/>
      <c r="J29" s="212"/>
      <c r="K29" s="212"/>
      <c r="L29" s="211"/>
      <c r="M29" s="211"/>
      <c r="N29" s="213"/>
      <c r="O29" s="211"/>
      <c r="P29" s="211"/>
      <c r="Q29" s="211"/>
      <c r="R29" s="214"/>
      <c r="S29" s="214"/>
      <c r="T29" s="214"/>
      <c r="U29" s="214"/>
    </row>
    <row r="30" spans="2:21" s="210" customFormat="1" ht="21" customHeight="1">
      <c r="B30" s="1183" t="s">
        <v>222</v>
      </c>
      <c r="C30" s="1190" t="s">
        <v>51</v>
      </c>
      <c r="D30" s="1192" t="s">
        <v>69</v>
      </c>
      <c r="E30" s="1193"/>
      <c r="F30" s="1194" t="s">
        <v>284</v>
      </c>
      <c r="G30" s="1183" t="s">
        <v>75</v>
      </c>
      <c r="H30" s="1183" t="s">
        <v>285</v>
      </c>
      <c r="I30" s="1183" t="s">
        <v>70</v>
      </c>
      <c r="J30" s="1183" t="s">
        <v>71</v>
      </c>
      <c r="K30" s="222" t="s">
        <v>813</v>
      </c>
      <c r="L30" s="211"/>
      <c r="M30" s="211"/>
      <c r="N30" s="213"/>
      <c r="O30" s="211"/>
      <c r="P30" s="211"/>
      <c r="Q30" s="211"/>
      <c r="R30" s="214"/>
      <c r="S30" s="214"/>
      <c r="T30" s="214"/>
      <c r="U30" s="214"/>
    </row>
    <row r="31" spans="2:21" s="210" customFormat="1" ht="25.5" customHeight="1">
      <c r="B31" s="1184"/>
      <c r="C31" s="1191"/>
      <c r="D31" s="175" t="s">
        <v>72</v>
      </c>
      <c r="E31" s="215" t="s">
        <v>73</v>
      </c>
      <c r="F31" s="1195"/>
      <c r="G31" s="1184"/>
      <c r="H31" s="1184"/>
      <c r="I31" s="1184"/>
      <c r="J31" s="1184"/>
      <c r="K31" s="560">
        <f>K15</f>
        <v>42234</v>
      </c>
      <c r="L31" s="211"/>
      <c r="M31" s="211"/>
      <c r="N31" s="213"/>
      <c r="O31" s="211"/>
      <c r="P31" s="211"/>
      <c r="Q31" s="211"/>
      <c r="R31" s="214"/>
      <c r="S31" s="214"/>
      <c r="T31" s="214"/>
      <c r="U31" s="214"/>
    </row>
    <row r="32" spans="2:21" s="210" customFormat="1" ht="62.1" customHeight="1">
      <c r="B32" s="217">
        <v>1</v>
      </c>
      <c r="C32" s="525" t="s">
        <v>679</v>
      </c>
      <c r="D32" s="216">
        <v>41821</v>
      </c>
      <c r="E32" s="216">
        <v>42369</v>
      </c>
      <c r="F32" s="331">
        <f t="shared" ref="F32:F37" si="0">E32-D32+1</f>
        <v>549</v>
      </c>
      <c r="G32" s="237">
        <v>487</v>
      </c>
      <c r="H32" s="331">
        <f>(E32-$K$15)</f>
        <v>135</v>
      </c>
      <c r="I32" s="218"/>
      <c r="J32" s="218"/>
      <c r="K32" s="218"/>
      <c r="L32" s="211"/>
      <c r="M32" s="211"/>
      <c r="N32" s="213"/>
      <c r="O32" s="211"/>
      <c r="P32" s="211"/>
      <c r="Q32" s="211"/>
      <c r="R32" s="214"/>
      <c r="S32" s="214"/>
      <c r="T32" s="214"/>
      <c r="U32" s="214"/>
    </row>
    <row r="33" spans="2:21" s="210" customFormat="1" ht="62.1" customHeight="1">
      <c r="B33" s="217">
        <v>2</v>
      </c>
      <c r="C33" s="525" t="s">
        <v>679</v>
      </c>
      <c r="D33" s="216">
        <v>41842</v>
      </c>
      <c r="E33" s="216">
        <v>42388</v>
      </c>
      <c r="F33" s="331">
        <f t="shared" si="0"/>
        <v>547</v>
      </c>
      <c r="G33" s="237">
        <v>232</v>
      </c>
      <c r="H33" s="331">
        <f>(E33-$K$15)</f>
        <v>154</v>
      </c>
      <c r="I33" s="218"/>
      <c r="J33" s="218"/>
      <c r="K33" s="218"/>
      <c r="L33" s="211"/>
      <c r="M33" s="211"/>
      <c r="N33" s="213"/>
      <c r="O33" s="211"/>
      <c r="P33" s="211"/>
      <c r="Q33" s="211"/>
      <c r="R33" s="214"/>
      <c r="S33" s="214"/>
      <c r="T33" s="214"/>
      <c r="U33" s="214"/>
    </row>
    <row r="34" spans="2:21" s="210" customFormat="1" ht="62.1" customHeight="1">
      <c r="B34" s="217">
        <v>3</v>
      </c>
      <c r="C34" s="525" t="s">
        <v>680</v>
      </c>
      <c r="D34" s="216">
        <v>42167</v>
      </c>
      <c r="E34" s="216">
        <v>42706</v>
      </c>
      <c r="F34" s="331">
        <f t="shared" si="0"/>
        <v>540</v>
      </c>
      <c r="G34" s="237">
        <v>357</v>
      </c>
      <c r="H34" s="331">
        <f>(E34-$K$15)</f>
        <v>472</v>
      </c>
      <c r="I34" s="218"/>
      <c r="J34" s="218"/>
      <c r="K34" s="218"/>
      <c r="L34" s="211"/>
      <c r="M34" s="211"/>
      <c r="N34" s="213"/>
      <c r="O34" s="211"/>
      <c r="P34" s="211"/>
      <c r="Q34" s="211"/>
      <c r="R34" s="214"/>
      <c r="S34" s="214"/>
      <c r="T34" s="214"/>
      <c r="U34" s="214"/>
    </row>
    <row r="35" spans="2:21" s="210" customFormat="1" ht="62.1" customHeight="1">
      <c r="B35" s="217">
        <v>4</v>
      </c>
      <c r="C35" s="525" t="s">
        <v>680</v>
      </c>
      <c r="D35" s="216">
        <v>42193</v>
      </c>
      <c r="E35" s="216">
        <v>42372</v>
      </c>
      <c r="F35" s="331">
        <f t="shared" si="0"/>
        <v>180</v>
      </c>
      <c r="G35" s="237">
        <v>203</v>
      </c>
      <c r="H35" s="331">
        <f>(E35-$K$15)</f>
        <v>138</v>
      </c>
      <c r="I35" s="218"/>
      <c r="J35" s="218"/>
      <c r="K35" s="218"/>
      <c r="L35" s="211"/>
      <c r="M35" s="211"/>
      <c r="N35" s="213"/>
      <c r="O35" s="211"/>
      <c r="P35" s="211"/>
      <c r="Q35" s="211"/>
      <c r="R35" s="214"/>
      <c r="S35" s="214"/>
      <c r="T35" s="214"/>
      <c r="U35" s="214"/>
    </row>
    <row r="36" spans="2:21" s="210" customFormat="1" ht="62.1" customHeight="1">
      <c r="B36" s="217">
        <v>5</v>
      </c>
      <c r="C36" s="525" t="s">
        <v>679</v>
      </c>
      <c r="D36" s="216">
        <v>41800</v>
      </c>
      <c r="E36" s="216">
        <v>42519</v>
      </c>
      <c r="F36" s="331">
        <f t="shared" si="0"/>
        <v>720</v>
      </c>
      <c r="G36" s="237">
        <v>950</v>
      </c>
      <c r="H36" s="331" t="s">
        <v>659</v>
      </c>
      <c r="I36" s="686">
        <v>42180</v>
      </c>
      <c r="J36" s="218"/>
      <c r="K36" s="218"/>
      <c r="L36" s="211"/>
      <c r="M36" s="211"/>
      <c r="N36" s="213"/>
      <c r="O36" s="211"/>
      <c r="P36" s="211"/>
      <c r="Q36" s="211"/>
      <c r="R36" s="214"/>
      <c r="S36" s="214"/>
      <c r="T36" s="214"/>
      <c r="U36" s="214"/>
    </row>
    <row r="37" spans="2:21" s="210" customFormat="1" ht="62.1" customHeight="1">
      <c r="B37" s="217">
        <v>6</v>
      </c>
      <c r="C37" s="525" t="s">
        <v>680</v>
      </c>
      <c r="D37" s="216">
        <v>41893</v>
      </c>
      <c r="E37" s="216">
        <v>42432</v>
      </c>
      <c r="F37" s="331">
        <f t="shared" si="0"/>
        <v>540</v>
      </c>
      <c r="G37" s="237">
        <v>358</v>
      </c>
      <c r="H37" s="331" t="s">
        <v>660</v>
      </c>
      <c r="I37" s="686">
        <v>42178</v>
      </c>
      <c r="J37" s="218"/>
      <c r="K37" s="218"/>
      <c r="L37" s="211"/>
      <c r="M37" s="211"/>
      <c r="N37" s="213"/>
      <c r="O37" s="211"/>
      <c r="P37" s="211"/>
      <c r="Q37" s="211"/>
      <c r="R37" s="214"/>
      <c r="S37" s="214"/>
      <c r="T37" s="214"/>
      <c r="U37" s="214"/>
    </row>
    <row r="38" spans="2:21" s="210" customFormat="1" ht="28.5" customHeight="1">
      <c r="B38" s="1185" t="s">
        <v>74</v>
      </c>
      <c r="C38" s="1186"/>
      <c r="D38" s="220"/>
      <c r="E38" s="221"/>
      <c r="F38" s="234"/>
      <c r="G38" s="238"/>
      <c r="H38" s="685">
        <f>SUM(H32:H37)/30</f>
        <v>29.966666666666665</v>
      </c>
      <c r="I38" s="117"/>
      <c r="J38" s="222"/>
      <c r="K38" s="536"/>
      <c r="L38" s="211"/>
      <c r="M38" s="211"/>
      <c r="N38" s="213"/>
      <c r="O38" s="211"/>
      <c r="P38" s="549"/>
      <c r="Q38" s="211"/>
      <c r="R38" s="214"/>
      <c r="S38" s="214"/>
      <c r="T38" s="214"/>
      <c r="U38" s="214"/>
    </row>
    <row r="39" spans="2:21" s="210" customFormat="1" ht="42" customHeight="1">
      <c r="B39" s="228"/>
      <c r="C39" s="224"/>
      <c r="D39" s="225"/>
      <c r="E39" s="226"/>
      <c r="F39" s="227"/>
      <c r="G39" s="239"/>
      <c r="H39" s="239"/>
      <c r="I39" s="223"/>
      <c r="J39" s="223"/>
      <c r="K39" s="223"/>
      <c r="L39" s="211"/>
      <c r="M39" s="211"/>
      <c r="N39" s="213"/>
      <c r="O39" s="211"/>
      <c r="P39" s="211"/>
      <c r="Q39" s="211"/>
      <c r="R39" s="214"/>
      <c r="S39" s="214"/>
      <c r="T39" s="214"/>
      <c r="U39" s="214"/>
    </row>
    <row r="40" spans="2:21" s="210" customFormat="1" ht="25.5" customHeight="1">
      <c r="B40" s="329" t="s">
        <v>688</v>
      </c>
      <c r="C40" s="329"/>
      <c r="D40" s="329"/>
      <c r="E40" s="329"/>
      <c r="F40" s="233"/>
      <c r="G40" s="212"/>
      <c r="H40" s="212"/>
      <c r="I40" s="212"/>
      <c r="J40" s="212"/>
      <c r="K40" s="212"/>
      <c r="L40" s="211"/>
      <c r="M40" s="211"/>
      <c r="N40" s="213"/>
      <c r="O40" s="211"/>
      <c r="P40" s="211"/>
      <c r="Q40" s="211"/>
      <c r="R40" s="214"/>
      <c r="S40" s="214"/>
      <c r="T40" s="214"/>
      <c r="U40" s="214"/>
    </row>
    <row r="41" spans="2:21" s="210" customFormat="1" ht="23.25" customHeight="1">
      <c r="B41" s="1183" t="s">
        <v>222</v>
      </c>
      <c r="C41" s="1190" t="s">
        <v>51</v>
      </c>
      <c r="D41" s="1192" t="s">
        <v>69</v>
      </c>
      <c r="E41" s="1193"/>
      <c r="F41" s="1194" t="s">
        <v>284</v>
      </c>
      <c r="G41" s="1183" t="s">
        <v>75</v>
      </c>
      <c r="H41" s="1183" t="s">
        <v>285</v>
      </c>
      <c r="I41" s="1183" t="s">
        <v>70</v>
      </c>
      <c r="J41" s="1183" t="s">
        <v>71</v>
      </c>
      <c r="K41" s="222" t="s">
        <v>814</v>
      </c>
      <c r="L41" s="211"/>
      <c r="M41" s="211"/>
      <c r="N41" s="213"/>
      <c r="O41" s="211"/>
      <c r="P41" s="211"/>
      <c r="Q41" s="211"/>
      <c r="R41" s="214"/>
      <c r="S41" s="214"/>
      <c r="T41" s="214"/>
      <c r="U41" s="214"/>
    </row>
    <row r="42" spans="2:21" s="210" customFormat="1" ht="23.25" customHeight="1">
      <c r="B42" s="1184"/>
      <c r="C42" s="1191"/>
      <c r="D42" s="175" t="s">
        <v>72</v>
      </c>
      <c r="E42" s="215" t="s">
        <v>73</v>
      </c>
      <c r="F42" s="1195"/>
      <c r="G42" s="1184"/>
      <c r="H42" s="1184"/>
      <c r="I42" s="1184"/>
      <c r="J42" s="1184"/>
      <c r="K42" s="560">
        <f>K15</f>
        <v>42234</v>
      </c>
      <c r="L42" s="211"/>
      <c r="M42" s="211"/>
      <c r="N42" s="213"/>
      <c r="O42" s="211"/>
      <c r="P42" s="211"/>
      <c r="Q42" s="211"/>
      <c r="R42" s="214"/>
      <c r="S42" s="214"/>
      <c r="T42" s="214"/>
      <c r="U42" s="214"/>
    </row>
    <row r="43" spans="2:21" s="210" customFormat="1" ht="42" customHeight="1">
      <c r="B43" s="217">
        <v>1</v>
      </c>
      <c r="C43" s="190" t="s">
        <v>679</v>
      </c>
      <c r="D43" s="216">
        <v>42135</v>
      </c>
      <c r="E43" s="216">
        <v>43049</v>
      </c>
      <c r="F43" s="331">
        <f>E43-D43+1</f>
        <v>915</v>
      </c>
      <c r="G43" s="237">
        <v>581</v>
      </c>
      <c r="H43" s="331">
        <f>(E43-$K$15)</f>
        <v>815</v>
      </c>
      <c r="I43" s="620"/>
      <c r="J43" s="518"/>
      <c r="K43" s="621"/>
      <c r="L43" s="211"/>
      <c r="M43" s="211"/>
      <c r="N43" s="213"/>
      <c r="O43" s="211"/>
      <c r="P43" s="211"/>
      <c r="Q43" s="211"/>
      <c r="R43" s="214"/>
      <c r="S43" s="214"/>
      <c r="T43" s="214"/>
      <c r="U43" s="214"/>
    </row>
    <row r="44" spans="2:21" s="210" customFormat="1" ht="42" customHeight="1">
      <c r="B44" s="217">
        <v>2</v>
      </c>
      <c r="C44" s="190" t="s">
        <v>679</v>
      </c>
      <c r="D44" s="216">
        <v>42150</v>
      </c>
      <c r="E44" s="216">
        <v>42515</v>
      </c>
      <c r="F44" s="331">
        <f>E44-D44+1</f>
        <v>366</v>
      </c>
      <c r="G44" s="237">
        <v>650</v>
      </c>
      <c r="H44" s="331">
        <f>(E44-$K$15)</f>
        <v>281</v>
      </c>
      <c r="I44" s="216"/>
      <c r="J44" s="219"/>
      <c r="K44" s="621"/>
      <c r="L44" s="211"/>
      <c r="M44" s="211"/>
      <c r="N44" s="213"/>
      <c r="O44" s="211"/>
      <c r="P44" s="211"/>
      <c r="Q44" s="211"/>
      <c r="R44" s="214"/>
      <c r="S44" s="214"/>
      <c r="T44" s="214"/>
      <c r="U44" s="214"/>
    </row>
    <row r="45" spans="2:21" s="210" customFormat="1" ht="30.75" customHeight="1">
      <c r="B45" s="1185" t="s">
        <v>74</v>
      </c>
      <c r="C45" s="1186"/>
      <c r="D45" s="220"/>
      <c r="E45" s="221"/>
      <c r="F45" s="234"/>
      <c r="G45" s="238"/>
      <c r="H45" s="685">
        <f>SUM(H43:H44)/30</f>
        <v>36.533333333333331</v>
      </c>
      <c r="I45" s="117"/>
      <c r="J45" s="222"/>
      <c r="K45" s="536"/>
      <c r="L45" s="211"/>
      <c r="M45" s="211"/>
      <c r="N45" s="213"/>
      <c r="O45" s="211"/>
      <c r="P45" s="211"/>
      <c r="Q45" s="211"/>
      <c r="R45" s="214"/>
      <c r="S45" s="214"/>
      <c r="T45" s="214"/>
      <c r="U45" s="214"/>
    </row>
    <row r="46" spans="2:21" s="210" customFormat="1" ht="15" customHeight="1">
      <c r="B46" s="228"/>
      <c r="C46" s="224"/>
      <c r="D46" s="225"/>
      <c r="E46" s="226"/>
      <c r="F46" s="227"/>
      <c r="G46" s="239"/>
      <c r="H46" s="239"/>
      <c r="I46" s="223"/>
      <c r="J46" s="223"/>
      <c r="K46" s="223"/>
      <c r="L46" s="211"/>
      <c r="M46" s="211"/>
      <c r="N46" s="213"/>
      <c r="O46" s="211"/>
      <c r="P46" s="211"/>
      <c r="Q46" s="211"/>
      <c r="R46" s="214"/>
      <c r="S46" s="214"/>
      <c r="T46" s="214"/>
      <c r="U46" s="214"/>
    </row>
    <row r="47" spans="2:21" s="210" customFormat="1" ht="32.25" customHeight="1">
      <c r="B47" s="329" t="s">
        <v>689</v>
      </c>
      <c r="C47" s="329"/>
      <c r="D47" s="329"/>
      <c r="E47" s="329"/>
      <c r="F47" s="233"/>
      <c r="G47" s="212"/>
      <c r="H47" s="212"/>
      <c r="I47" s="212"/>
      <c r="J47" s="212"/>
      <c r="K47" s="212"/>
      <c r="L47" s="211"/>
      <c r="M47" s="211"/>
      <c r="N47" s="213"/>
      <c r="O47" s="211"/>
      <c r="P47" s="211"/>
      <c r="Q47" s="211"/>
      <c r="R47" s="214"/>
      <c r="S47" s="214"/>
      <c r="T47" s="214"/>
      <c r="U47" s="214"/>
    </row>
    <row r="48" spans="2:21" s="210" customFormat="1" ht="23.25" customHeight="1">
      <c r="B48" s="1187" t="s">
        <v>222</v>
      </c>
      <c r="C48" s="1188" t="s">
        <v>51</v>
      </c>
      <c r="D48" s="1187" t="s">
        <v>69</v>
      </c>
      <c r="E48" s="1187"/>
      <c r="F48" s="1189" t="s">
        <v>284</v>
      </c>
      <c r="G48" s="1187" t="s">
        <v>75</v>
      </c>
      <c r="H48" s="1187" t="s">
        <v>285</v>
      </c>
      <c r="I48" s="1187" t="s">
        <v>70</v>
      </c>
      <c r="J48" s="1187" t="s">
        <v>71</v>
      </c>
      <c r="K48" s="222" t="s">
        <v>815</v>
      </c>
      <c r="L48" s="211"/>
      <c r="M48" s="211"/>
      <c r="N48" s="213"/>
      <c r="O48" s="211"/>
      <c r="P48" s="211"/>
      <c r="Q48" s="211"/>
      <c r="R48" s="214"/>
      <c r="S48" s="214"/>
      <c r="T48" s="214"/>
      <c r="U48" s="214"/>
    </row>
    <row r="49" spans="2:21" s="210" customFormat="1" ht="23.25" customHeight="1">
      <c r="B49" s="1187"/>
      <c r="C49" s="1188"/>
      <c r="D49" s="175" t="s">
        <v>72</v>
      </c>
      <c r="E49" s="215" t="s">
        <v>73</v>
      </c>
      <c r="F49" s="1189"/>
      <c r="G49" s="1187"/>
      <c r="H49" s="1187"/>
      <c r="I49" s="1187"/>
      <c r="J49" s="1187"/>
      <c r="K49" s="560">
        <f>K6</f>
        <v>42234</v>
      </c>
      <c r="L49" s="211"/>
      <c r="M49" s="211"/>
      <c r="N49" s="213"/>
      <c r="O49" s="211"/>
      <c r="P49" s="211"/>
      <c r="Q49" s="211"/>
      <c r="R49" s="214"/>
      <c r="S49" s="214"/>
      <c r="T49" s="214"/>
      <c r="U49" s="214"/>
    </row>
    <row r="50" spans="2:21" s="210" customFormat="1" ht="62.1" customHeight="1">
      <c r="B50" s="217">
        <v>1</v>
      </c>
      <c r="C50" s="190" t="s">
        <v>680</v>
      </c>
      <c r="D50" s="683">
        <v>41785</v>
      </c>
      <c r="E50" s="683">
        <v>42144</v>
      </c>
      <c r="F50" s="331">
        <f>E50-D50+1</f>
        <v>360</v>
      </c>
      <c r="G50" s="237">
        <v>754</v>
      </c>
      <c r="H50" s="619" t="s">
        <v>659</v>
      </c>
      <c r="I50" s="620">
        <v>42003</v>
      </c>
      <c r="J50" s="518" t="s">
        <v>658</v>
      </c>
      <c r="K50" s="621"/>
      <c r="L50" s="211"/>
      <c r="M50" s="211"/>
      <c r="N50" s="213"/>
      <c r="O50" s="211"/>
      <c r="P50" s="211"/>
      <c r="Q50" s="211"/>
      <c r="R50" s="214"/>
      <c r="S50" s="214"/>
      <c r="T50" s="214"/>
      <c r="U50" s="214"/>
    </row>
    <row r="51" spans="2:21" s="210" customFormat="1" ht="62.1" customHeight="1">
      <c r="B51" s="217">
        <v>2</v>
      </c>
      <c r="C51" s="190" t="s">
        <v>680</v>
      </c>
      <c r="D51" s="683">
        <v>42143</v>
      </c>
      <c r="E51" s="683">
        <v>42592</v>
      </c>
      <c r="F51" s="331">
        <f>E51-D51+1</f>
        <v>450</v>
      </c>
      <c r="G51" s="237">
        <v>867</v>
      </c>
      <c r="H51" s="619">
        <f>(E51-$K$15)</f>
        <v>358</v>
      </c>
      <c r="I51" s="620"/>
      <c r="J51" s="518"/>
      <c r="K51" s="621"/>
      <c r="L51" s="211"/>
      <c r="M51" s="211"/>
      <c r="N51" s="213"/>
      <c r="O51" s="211"/>
      <c r="P51" s="211"/>
      <c r="Q51" s="211"/>
      <c r="R51" s="214"/>
      <c r="S51" s="214"/>
      <c r="T51" s="214"/>
      <c r="U51" s="214"/>
    </row>
    <row r="52" spans="2:21" s="210" customFormat="1" ht="30.75" customHeight="1">
      <c r="B52" s="1182" t="s">
        <v>74</v>
      </c>
      <c r="C52" s="1182"/>
      <c r="D52" s="220"/>
      <c r="E52" s="221"/>
      <c r="F52" s="234"/>
      <c r="G52" s="238"/>
      <c r="H52" s="685">
        <f>SUM(H50:H51)/30</f>
        <v>11.933333333333334</v>
      </c>
      <c r="I52" s="117"/>
      <c r="J52" s="222"/>
      <c r="K52" s="536"/>
      <c r="L52" s="211"/>
      <c r="M52" s="211"/>
      <c r="N52" s="213"/>
      <c r="O52" s="211"/>
      <c r="P52" s="211"/>
      <c r="Q52" s="211"/>
      <c r="R52" s="214"/>
      <c r="S52" s="214"/>
      <c r="T52" s="214"/>
      <c r="U52" s="214"/>
    </row>
    <row r="53" spans="2:21" s="210" customFormat="1" ht="42" customHeight="1">
      <c r="B53" s="228"/>
      <c r="C53" s="224"/>
      <c r="D53" s="225"/>
      <c r="E53" s="226"/>
      <c r="F53" s="227"/>
      <c r="G53" s="239"/>
      <c r="H53" s="239"/>
      <c r="I53" s="223"/>
      <c r="J53" s="223"/>
      <c r="K53" s="223"/>
      <c r="L53" s="211"/>
      <c r="M53" s="211"/>
      <c r="N53" s="213"/>
      <c r="O53" s="211"/>
      <c r="P53" s="211"/>
      <c r="Q53" s="211"/>
      <c r="R53" s="214"/>
      <c r="S53" s="214"/>
      <c r="T53" s="214"/>
      <c r="U53" s="214"/>
    </row>
    <row r="54" spans="2:21" s="210" customFormat="1" ht="27.75" customHeight="1">
      <c r="B54" s="1196" t="s">
        <v>798</v>
      </c>
      <c r="C54" s="1196"/>
      <c r="D54" s="226"/>
      <c r="E54" s="227"/>
      <c r="F54" s="239"/>
      <c r="G54" s="239"/>
      <c r="H54" s="227"/>
      <c r="I54" s="223"/>
      <c r="J54" s="223"/>
      <c r="K54" s="211"/>
      <c r="L54" s="211"/>
      <c r="M54" s="213"/>
      <c r="N54" s="211"/>
      <c r="O54" s="211"/>
      <c r="P54" s="211"/>
      <c r="Q54" s="214"/>
      <c r="R54" s="214"/>
      <c r="S54" s="214"/>
      <c r="T54" s="214"/>
    </row>
    <row r="55" spans="2:21" s="210" customFormat="1" ht="6.75" customHeight="1">
      <c r="B55" s="223"/>
      <c r="C55" s="225"/>
      <c r="D55" s="225"/>
      <c r="E55" s="226"/>
      <c r="F55" s="227"/>
      <c r="G55" s="239"/>
      <c r="H55" s="239"/>
      <c r="I55" s="223"/>
      <c r="J55" s="223"/>
      <c r="K55" s="223"/>
      <c r="L55" s="211"/>
      <c r="M55" s="211"/>
      <c r="N55" s="213"/>
      <c r="O55" s="211"/>
      <c r="P55" s="211"/>
      <c r="Q55" s="211"/>
      <c r="R55" s="214"/>
      <c r="S55" s="214"/>
      <c r="T55" s="214"/>
      <c r="U55" s="214"/>
    </row>
    <row r="56" spans="2:21" s="210" customFormat="1" ht="24.75" customHeight="1">
      <c r="B56" s="329" t="s">
        <v>799</v>
      </c>
      <c r="C56" s="330"/>
      <c r="D56" s="330"/>
      <c r="E56" s="330"/>
      <c r="F56" s="233"/>
      <c r="G56" s="212"/>
      <c r="H56" s="212"/>
      <c r="I56" s="212"/>
      <c r="J56" s="212"/>
      <c r="K56" s="212"/>
      <c r="L56" s="211"/>
      <c r="M56" s="211"/>
      <c r="N56" s="213"/>
      <c r="O56" s="211"/>
      <c r="P56" s="211"/>
      <c r="Q56" s="211"/>
      <c r="R56" s="214"/>
      <c r="S56" s="214"/>
      <c r="T56" s="214"/>
      <c r="U56" s="214"/>
    </row>
    <row r="57" spans="2:21" s="210" customFormat="1" ht="24" customHeight="1">
      <c r="B57" s="1183" t="s">
        <v>205</v>
      </c>
      <c r="C57" s="1190" t="s">
        <v>51</v>
      </c>
      <c r="D57" s="1192" t="s">
        <v>69</v>
      </c>
      <c r="E57" s="1193"/>
      <c r="F57" s="1194" t="s">
        <v>284</v>
      </c>
      <c r="G57" s="1183" t="s">
        <v>75</v>
      </c>
      <c r="H57" s="1183" t="s">
        <v>285</v>
      </c>
      <c r="I57" s="1183" t="s">
        <v>70</v>
      </c>
      <c r="J57" s="1183" t="s">
        <v>71</v>
      </c>
      <c r="K57" s="222" t="s">
        <v>541</v>
      </c>
      <c r="L57" s="211"/>
      <c r="M57" s="211"/>
      <c r="N57" s="213"/>
      <c r="O57" s="211"/>
      <c r="P57" s="211"/>
      <c r="Q57" s="211"/>
      <c r="R57" s="214"/>
      <c r="S57" s="214"/>
      <c r="T57" s="214"/>
      <c r="U57" s="214"/>
    </row>
    <row r="58" spans="2:21" s="210" customFormat="1" ht="24" customHeight="1">
      <c r="B58" s="1184"/>
      <c r="C58" s="1191"/>
      <c r="D58" s="758" t="s">
        <v>72</v>
      </c>
      <c r="E58" s="757" t="s">
        <v>73</v>
      </c>
      <c r="F58" s="1195"/>
      <c r="G58" s="1184"/>
      <c r="H58" s="1184"/>
      <c r="I58" s="1184"/>
      <c r="J58" s="1184"/>
      <c r="K58" s="560">
        <f>K49</f>
        <v>42234</v>
      </c>
      <c r="L58" s="211"/>
      <c r="M58" s="211"/>
      <c r="N58" s="213"/>
      <c r="O58" s="211"/>
      <c r="P58" s="211"/>
      <c r="Q58" s="211"/>
      <c r="R58" s="214"/>
      <c r="S58" s="214"/>
      <c r="T58" s="214"/>
      <c r="U58" s="214"/>
    </row>
    <row r="59" spans="2:21" s="210" customFormat="1" ht="42" customHeight="1">
      <c r="B59" s="217">
        <v>1</v>
      </c>
      <c r="C59" s="190" t="s">
        <v>680</v>
      </c>
      <c r="D59" s="216">
        <v>42153</v>
      </c>
      <c r="E59" s="216">
        <v>42523</v>
      </c>
      <c r="F59" s="331">
        <f>E59-D59+1</f>
        <v>371</v>
      </c>
      <c r="G59" s="237">
        <v>880</v>
      </c>
      <c r="H59" s="570">
        <f>(E59-$K$15)</f>
        <v>289</v>
      </c>
      <c r="I59" s="218"/>
      <c r="J59" s="218"/>
      <c r="K59" s="218"/>
      <c r="L59" s="211"/>
      <c r="M59" s="213"/>
      <c r="N59" s="211"/>
      <c r="O59" s="211"/>
      <c r="P59" s="211"/>
      <c r="Q59" s="214"/>
      <c r="R59" s="214"/>
      <c r="S59" s="214"/>
      <c r="T59" s="214"/>
    </row>
    <row r="60" spans="2:21" s="210" customFormat="1" ht="42" customHeight="1">
      <c r="B60" s="217">
        <v>2</v>
      </c>
      <c r="C60" s="190" t="s">
        <v>680</v>
      </c>
      <c r="D60" s="216">
        <v>42118</v>
      </c>
      <c r="E60" s="216">
        <v>42574</v>
      </c>
      <c r="F60" s="331">
        <f>E60-D60+1</f>
        <v>457</v>
      </c>
      <c r="G60" s="237">
        <v>440</v>
      </c>
      <c r="H60" s="570">
        <f>(E60-$K$15)</f>
        <v>340</v>
      </c>
      <c r="I60" s="216"/>
      <c r="J60" s="219"/>
      <c r="K60" s="218"/>
      <c r="L60" s="211"/>
      <c r="M60" s="213"/>
      <c r="N60" s="211"/>
      <c r="O60" s="211"/>
      <c r="P60" s="211"/>
      <c r="Q60" s="214"/>
      <c r="R60" s="214"/>
      <c r="S60" s="214"/>
      <c r="T60" s="214"/>
    </row>
    <row r="61" spans="2:21" s="210" customFormat="1" ht="30.75" customHeight="1">
      <c r="B61" s="1185" t="s">
        <v>74</v>
      </c>
      <c r="C61" s="1186"/>
      <c r="D61" s="220"/>
      <c r="E61" s="221"/>
      <c r="F61" s="234"/>
      <c r="G61" s="238"/>
      <c r="H61" s="685">
        <f>SUM(H59:H60)/30</f>
        <v>20.966666666666665</v>
      </c>
      <c r="I61" s="756"/>
      <c r="J61" s="222"/>
      <c r="K61" s="536"/>
      <c r="L61" s="211"/>
      <c r="M61" s="211"/>
      <c r="N61" s="213"/>
      <c r="O61" s="211"/>
      <c r="P61" s="211"/>
      <c r="Q61" s="211"/>
      <c r="R61" s="214"/>
      <c r="S61" s="214"/>
      <c r="T61" s="214"/>
      <c r="U61" s="214"/>
    </row>
    <row r="62" spans="2:21" s="210" customFormat="1" ht="24.75" customHeight="1">
      <c r="B62" s="329" t="s">
        <v>800</v>
      </c>
      <c r="C62" s="330"/>
      <c r="D62" s="330"/>
      <c r="E62" s="330"/>
      <c r="F62" s="233"/>
      <c r="G62" s="212"/>
      <c r="H62" s="212"/>
      <c r="I62" s="212"/>
      <c r="J62" s="212"/>
      <c r="K62" s="212"/>
      <c r="L62" s="211"/>
      <c r="M62" s="211"/>
      <c r="N62" s="213"/>
      <c r="O62" s="211"/>
      <c r="P62" s="211"/>
      <c r="Q62" s="211"/>
      <c r="R62" s="214"/>
      <c r="S62" s="214"/>
      <c r="T62" s="214"/>
      <c r="U62" s="214"/>
    </row>
    <row r="63" spans="2:21" s="210" customFormat="1" ht="24" customHeight="1">
      <c r="B63" s="1183" t="s">
        <v>25</v>
      </c>
      <c r="C63" s="1190" t="s">
        <v>26</v>
      </c>
      <c r="D63" s="1192" t="s">
        <v>69</v>
      </c>
      <c r="E63" s="1193"/>
      <c r="F63" s="1194" t="s">
        <v>284</v>
      </c>
      <c r="G63" s="1183" t="s">
        <v>75</v>
      </c>
      <c r="H63" s="1183" t="s">
        <v>285</v>
      </c>
      <c r="I63" s="1183" t="s">
        <v>70</v>
      </c>
      <c r="J63" s="1183" t="s">
        <v>71</v>
      </c>
      <c r="K63" s="222" t="s">
        <v>815</v>
      </c>
      <c r="L63" s="211"/>
      <c r="M63" s="211"/>
      <c r="N63" s="213"/>
      <c r="O63" s="211"/>
      <c r="P63" s="211"/>
      <c r="Q63" s="211"/>
      <c r="R63" s="214"/>
      <c r="S63" s="214"/>
      <c r="T63" s="214"/>
      <c r="U63" s="214"/>
    </row>
    <row r="64" spans="2:21" s="210" customFormat="1" ht="24" customHeight="1">
      <c r="B64" s="1184"/>
      <c r="C64" s="1191"/>
      <c r="D64" s="758" t="s">
        <v>72</v>
      </c>
      <c r="E64" s="757" t="s">
        <v>73</v>
      </c>
      <c r="F64" s="1195"/>
      <c r="G64" s="1184"/>
      <c r="H64" s="1184"/>
      <c r="I64" s="1184"/>
      <c r="J64" s="1184"/>
      <c r="K64" s="560">
        <f>K58</f>
        <v>42234</v>
      </c>
      <c r="L64" s="211"/>
      <c r="M64" s="211"/>
      <c r="N64" s="213"/>
      <c r="O64" s="211"/>
      <c r="P64" s="211"/>
      <c r="Q64" s="211"/>
      <c r="R64" s="214"/>
      <c r="S64" s="214"/>
      <c r="T64" s="214"/>
      <c r="U64" s="214"/>
    </row>
    <row r="65" spans="2:21" s="210" customFormat="1" ht="42" customHeight="1">
      <c r="B65" s="217">
        <v>1</v>
      </c>
      <c r="C65" s="190" t="s">
        <v>680</v>
      </c>
      <c r="D65" s="683">
        <v>41459</v>
      </c>
      <c r="E65" s="683">
        <v>42326</v>
      </c>
      <c r="F65" s="331">
        <f>E65-D65+1</f>
        <v>868</v>
      </c>
      <c r="G65" s="237">
        <v>991</v>
      </c>
      <c r="H65" s="570">
        <f>(E65-$K$15)</f>
        <v>92</v>
      </c>
      <c r="I65" s="218"/>
      <c r="J65" s="218"/>
      <c r="K65" s="218"/>
      <c r="L65" s="211"/>
      <c r="M65" s="211"/>
      <c r="N65" s="213"/>
      <c r="O65" s="211"/>
      <c r="P65" s="211"/>
      <c r="Q65" s="211"/>
      <c r="R65" s="214"/>
      <c r="S65" s="214"/>
      <c r="T65" s="214"/>
      <c r="U65" s="214"/>
    </row>
    <row r="66" spans="2:21" s="210" customFormat="1" ht="42" customHeight="1">
      <c r="B66" s="217">
        <v>2</v>
      </c>
      <c r="C66" s="190" t="s">
        <v>680</v>
      </c>
      <c r="D66" s="683">
        <v>41827</v>
      </c>
      <c r="E66" s="683">
        <v>42546</v>
      </c>
      <c r="F66" s="331">
        <f>E66-D66+1</f>
        <v>720</v>
      </c>
      <c r="G66" s="237">
        <v>602</v>
      </c>
      <c r="H66" s="570">
        <f>(E66-$K$15)</f>
        <v>312</v>
      </c>
      <c r="I66" s="218"/>
      <c r="J66" s="218"/>
      <c r="K66" s="218"/>
      <c r="L66" s="211"/>
      <c r="M66" s="211"/>
      <c r="N66" s="213"/>
      <c r="O66" s="211"/>
      <c r="P66" s="211"/>
      <c r="Q66" s="211"/>
      <c r="R66" s="214"/>
      <c r="S66" s="214"/>
      <c r="T66" s="214"/>
      <c r="U66" s="214"/>
    </row>
    <row r="67" spans="2:21" s="210" customFormat="1" ht="42" customHeight="1">
      <c r="B67" s="217">
        <v>3</v>
      </c>
      <c r="C67" s="190" t="s">
        <v>680</v>
      </c>
      <c r="D67" s="683">
        <v>41946</v>
      </c>
      <c r="E67" s="683">
        <v>42575</v>
      </c>
      <c r="F67" s="331">
        <f>E67-D67+1</f>
        <v>630</v>
      </c>
      <c r="G67" s="237">
        <v>807</v>
      </c>
      <c r="H67" s="570">
        <f>(E67-$K$15)</f>
        <v>341</v>
      </c>
      <c r="I67" s="218"/>
      <c r="J67" s="218"/>
      <c r="K67" s="218"/>
      <c r="L67" s="211"/>
      <c r="M67" s="211"/>
      <c r="N67" s="213"/>
      <c r="O67" s="211"/>
      <c r="P67" s="211"/>
      <c r="Q67" s="211"/>
      <c r="R67" s="214"/>
      <c r="S67" s="214"/>
      <c r="T67" s="214"/>
      <c r="U67" s="214"/>
    </row>
    <row r="68" spans="2:21" s="210" customFormat="1" ht="42" customHeight="1">
      <c r="B68" s="684">
        <v>4</v>
      </c>
      <c r="C68" s="190" t="s">
        <v>680</v>
      </c>
      <c r="D68" s="683">
        <v>42216</v>
      </c>
      <c r="E68" s="683">
        <v>42515</v>
      </c>
      <c r="F68" s="331">
        <f>E68-D68+1</f>
        <v>300</v>
      </c>
      <c r="G68" s="237">
        <v>481</v>
      </c>
      <c r="H68" s="570">
        <f>(E68-$K$15)</f>
        <v>281</v>
      </c>
      <c r="I68" s="216"/>
      <c r="J68" s="219"/>
      <c r="K68" s="218"/>
      <c r="L68" s="211"/>
      <c r="M68" s="211"/>
      <c r="N68" s="213"/>
      <c r="O68" s="211"/>
      <c r="P68" s="211"/>
      <c r="Q68" s="211"/>
      <c r="R68" s="214"/>
      <c r="S68" s="214"/>
      <c r="T68" s="214"/>
      <c r="U68" s="214"/>
    </row>
    <row r="69" spans="2:21" s="210" customFormat="1" ht="30.75" customHeight="1">
      <c r="B69" s="1185" t="s">
        <v>74</v>
      </c>
      <c r="C69" s="1186"/>
      <c r="D69" s="220"/>
      <c r="E69" s="221"/>
      <c r="F69" s="234"/>
      <c r="G69" s="238"/>
      <c r="H69" s="685">
        <f>SUM(H65:H68)/30</f>
        <v>34.200000000000003</v>
      </c>
      <c r="I69" s="756"/>
      <c r="J69" s="222"/>
      <c r="K69" s="536"/>
      <c r="L69" s="211"/>
      <c r="M69" s="211"/>
      <c r="N69" s="213"/>
      <c r="O69" s="211"/>
      <c r="P69" s="211"/>
      <c r="Q69" s="211"/>
      <c r="R69" s="214"/>
      <c r="S69" s="214"/>
      <c r="T69" s="214"/>
      <c r="U69" s="214"/>
    </row>
    <row r="70" spans="2:21" s="210" customFormat="1" ht="8.25" customHeight="1">
      <c r="B70" s="223"/>
      <c r="C70" s="225"/>
      <c r="D70" s="225"/>
      <c r="E70" s="226"/>
      <c r="F70" s="227"/>
      <c r="G70" s="239"/>
      <c r="H70" s="239"/>
      <c r="I70" s="223"/>
      <c r="J70" s="223"/>
      <c r="K70" s="223"/>
      <c r="L70" s="211"/>
      <c r="M70" s="211"/>
      <c r="N70" s="213"/>
      <c r="O70" s="211"/>
      <c r="P70" s="211"/>
      <c r="Q70" s="211"/>
      <c r="R70" s="214"/>
      <c r="S70" s="214"/>
      <c r="T70" s="214"/>
      <c r="U70" s="214"/>
    </row>
    <row r="71" spans="2:21" s="210" customFormat="1" ht="8.25" customHeight="1">
      <c r="B71" s="223"/>
      <c r="C71" s="225"/>
      <c r="D71" s="225"/>
      <c r="E71" s="226"/>
      <c r="F71" s="227"/>
      <c r="G71" s="239"/>
      <c r="H71" s="239"/>
      <c r="I71" s="223"/>
      <c r="J71" s="223"/>
      <c r="K71" s="223"/>
      <c r="L71" s="211"/>
      <c r="M71" s="211"/>
      <c r="N71" s="213"/>
      <c r="O71" s="211"/>
      <c r="P71" s="211"/>
      <c r="Q71" s="211"/>
      <c r="R71" s="214"/>
      <c r="S71" s="214"/>
      <c r="T71" s="214"/>
      <c r="U71" s="214"/>
    </row>
    <row r="72" spans="2:21" s="210" customFormat="1" ht="35.1" customHeight="1">
      <c r="B72" s="329" t="s">
        <v>801</v>
      </c>
      <c r="C72" s="329"/>
      <c r="D72" s="329"/>
      <c r="E72" s="329"/>
      <c r="F72" s="233"/>
      <c r="G72" s="212"/>
      <c r="H72" s="212"/>
      <c r="I72" s="212"/>
      <c r="J72" s="212"/>
      <c r="K72" s="212"/>
      <c r="L72" s="211"/>
      <c r="M72" s="211"/>
      <c r="N72" s="213"/>
      <c r="O72" s="211"/>
      <c r="P72" s="211"/>
      <c r="Q72" s="211"/>
      <c r="R72" s="214"/>
      <c r="S72" s="214"/>
      <c r="T72" s="214"/>
      <c r="U72" s="214"/>
    </row>
    <row r="73" spans="2:21" s="210" customFormat="1" ht="21" customHeight="1">
      <c r="B73" s="1183" t="s">
        <v>205</v>
      </c>
      <c r="C73" s="1190" t="s">
        <v>51</v>
      </c>
      <c r="D73" s="1192" t="s">
        <v>69</v>
      </c>
      <c r="E73" s="1193"/>
      <c r="F73" s="1194" t="s">
        <v>284</v>
      </c>
      <c r="G73" s="1183" t="s">
        <v>75</v>
      </c>
      <c r="H73" s="1183" t="s">
        <v>285</v>
      </c>
      <c r="I73" s="1183" t="s">
        <v>70</v>
      </c>
      <c r="J73" s="1183" t="s">
        <v>71</v>
      </c>
      <c r="K73" s="222" t="s">
        <v>811</v>
      </c>
      <c r="L73" s="211"/>
      <c r="M73" s="211"/>
      <c r="N73" s="213"/>
      <c r="O73" s="211"/>
      <c r="P73" s="211"/>
      <c r="Q73" s="211"/>
      <c r="R73" s="214"/>
      <c r="S73" s="214"/>
      <c r="T73" s="214"/>
      <c r="U73" s="214"/>
    </row>
    <row r="74" spans="2:21" s="210" customFormat="1" ht="25.5" customHeight="1">
      <c r="B74" s="1184"/>
      <c r="C74" s="1191"/>
      <c r="D74" s="758" t="s">
        <v>72</v>
      </c>
      <c r="E74" s="757" t="s">
        <v>73</v>
      </c>
      <c r="F74" s="1195"/>
      <c r="G74" s="1184"/>
      <c r="H74" s="1184"/>
      <c r="I74" s="1184"/>
      <c r="J74" s="1184"/>
      <c r="K74" s="560">
        <f>K58</f>
        <v>42234</v>
      </c>
      <c r="L74" s="211"/>
      <c r="M74" s="211"/>
      <c r="N74" s="213"/>
      <c r="O74" s="211"/>
      <c r="P74" s="211"/>
      <c r="Q74" s="211"/>
      <c r="R74" s="214"/>
      <c r="S74" s="214"/>
      <c r="T74" s="214"/>
      <c r="U74" s="214"/>
    </row>
    <row r="75" spans="2:21" s="210" customFormat="1" ht="62.1" customHeight="1">
      <c r="B75" s="217">
        <v>1</v>
      </c>
      <c r="C75" s="525" t="s">
        <v>679</v>
      </c>
      <c r="D75" s="216">
        <v>41821</v>
      </c>
      <c r="E75" s="216">
        <v>42369</v>
      </c>
      <c r="F75" s="331">
        <f t="shared" ref="F75:F77" si="1">E75-D75+1</f>
        <v>549</v>
      </c>
      <c r="G75" s="237">
        <v>487</v>
      </c>
      <c r="H75" s="331">
        <f>(E75-$K$15)</f>
        <v>135</v>
      </c>
      <c r="I75" s="218"/>
      <c r="J75" s="218"/>
      <c r="K75" s="218"/>
      <c r="L75" s="211"/>
      <c r="M75" s="211"/>
      <c r="N75" s="213"/>
      <c r="O75" s="211"/>
      <c r="P75" s="211"/>
      <c r="Q75" s="211"/>
      <c r="R75" s="214"/>
      <c r="S75" s="214"/>
      <c r="T75" s="214"/>
      <c r="U75" s="214"/>
    </row>
    <row r="76" spans="2:21" s="210" customFormat="1" ht="62.1" customHeight="1">
      <c r="B76" s="217">
        <v>2</v>
      </c>
      <c r="C76" s="525" t="s">
        <v>679</v>
      </c>
      <c r="D76" s="216">
        <v>41842</v>
      </c>
      <c r="E76" s="216">
        <v>42388</v>
      </c>
      <c r="F76" s="331">
        <f t="shared" si="1"/>
        <v>547</v>
      </c>
      <c r="G76" s="237">
        <v>232</v>
      </c>
      <c r="H76" s="331">
        <f>(E76-$K$15)</f>
        <v>154</v>
      </c>
      <c r="I76" s="218"/>
      <c r="J76" s="218"/>
      <c r="K76" s="218"/>
      <c r="L76" s="211"/>
      <c r="M76" s="211"/>
      <c r="N76" s="213"/>
      <c r="O76" s="211"/>
      <c r="P76" s="211"/>
      <c r="Q76" s="211"/>
      <c r="R76" s="214"/>
      <c r="S76" s="214"/>
      <c r="T76" s="214"/>
      <c r="U76" s="214"/>
    </row>
    <row r="77" spans="2:21" s="210" customFormat="1" ht="62.1" customHeight="1">
      <c r="B77" s="217">
        <v>3</v>
      </c>
      <c r="C77" s="525" t="s">
        <v>680</v>
      </c>
      <c r="D77" s="216">
        <v>42167</v>
      </c>
      <c r="E77" s="216">
        <v>42706</v>
      </c>
      <c r="F77" s="331">
        <f t="shared" si="1"/>
        <v>540</v>
      </c>
      <c r="G77" s="237">
        <v>357</v>
      </c>
      <c r="H77" s="331">
        <f>(E77-$K$15)</f>
        <v>472</v>
      </c>
      <c r="I77" s="218"/>
      <c r="J77" s="218"/>
      <c r="K77" s="218"/>
      <c r="L77" s="211"/>
      <c r="M77" s="211"/>
      <c r="N77" s="213"/>
      <c r="O77" s="211"/>
      <c r="P77" s="211"/>
      <c r="Q77" s="211"/>
      <c r="R77" s="214"/>
      <c r="S77" s="214"/>
      <c r="T77" s="214"/>
      <c r="U77" s="214"/>
    </row>
    <row r="78" spans="2:21" s="210" customFormat="1" ht="28.5" customHeight="1">
      <c r="B78" s="1185" t="s">
        <v>74</v>
      </c>
      <c r="C78" s="1186"/>
      <c r="D78" s="220"/>
      <c r="E78" s="221"/>
      <c r="F78" s="234"/>
      <c r="G78" s="238"/>
      <c r="H78" s="685">
        <f>SUM(H75:H77)/30</f>
        <v>25.366666666666667</v>
      </c>
      <c r="I78" s="756"/>
      <c r="J78" s="222"/>
      <c r="K78" s="536"/>
      <c r="L78" s="211"/>
      <c r="M78" s="211"/>
      <c r="N78" s="213"/>
      <c r="O78" s="211"/>
      <c r="P78" s="549"/>
      <c r="Q78" s="211"/>
      <c r="R78" s="214"/>
      <c r="S78" s="214"/>
      <c r="T78" s="214"/>
      <c r="U78" s="214"/>
    </row>
    <row r="79" spans="2:21" s="210" customFormat="1" ht="42" customHeight="1">
      <c r="B79" s="228"/>
      <c r="C79" s="224"/>
      <c r="D79" s="225"/>
      <c r="E79" s="226"/>
      <c r="F79" s="227"/>
      <c r="G79" s="239"/>
      <c r="H79" s="239"/>
      <c r="I79" s="223"/>
      <c r="J79" s="223"/>
      <c r="K79" s="223"/>
      <c r="L79" s="211"/>
      <c r="M79" s="211"/>
      <c r="N79" s="213"/>
      <c r="O79" s="211"/>
      <c r="P79" s="211"/>
      <c r="Q79" s="211"/>
      <c r="R79" s="214"/>
      <c r="S79" s="214"/>
      <c r="T79" s="214"/>
      <c r="U79" s="214"/>
    </row>
    <row r="80" spans="2:21" s="210" customFormat="1" ht="25.5" customHeight="1">
      <c r="B80" s="329" t="s">
        <v>802</v>
      </c>
      <c r="C80" s="329"/>
      <c r="D80" s="329"/>
      <c r="E80" s="329"/>
      <c r="F80" s="233"/>
      <c r="G80" s="212"/>
      <c r="H80" s="212"/>
      <c r="I80" s="212"/>
      <c r="J80" s="212"/>
      <c r="K80" s="212"/>
      <c r="L80" s="211"/>
      <c r="M80" s="211"/>
      <c r="N80" s="213"/>
      <c r="O80" s="211"/>
      <c r="P80" s="211"/>
      <c r="Q80" s="211"/>
      <c r="R80" s="214"/>
      <c r="S80" s="214"/>
      <c r="T80" s="214"/>
      <c r="U80" s="214"/>
    </row>
    <row r="81" spans="2:21" s="210" customFormat="1" ht="23.25" customHeight="1">
      <c r="B81" s="1183" t="s">
        <v>205</v>
      </c>
      <c r="C81" s="1190" t="s">
        <v>51</v>
      </c>
      <c r="D81" s="1192" t="s">
        <v>69</v>
      </c>
      <c r="E81" s="1193"/>
      <c r="F81" s="1194" t="s">
        <v>284</v>
      </c>
      <c r="G81" s="1183" t="s">
        <v>75</v>
      </c>
      <c r="H81" s="1183" t="s">
        <v>285</v>
      </c>
      <c r="I81" s="1183" t="s">
        <v>70</v>
      </c>
      <c r="J81" s="1183" t="s">
        <v>71</v>
      </c>
      <c r="K81" s="222" t="s">
        <v>541</v>
      </c>
      <c r="L81" s="211"/>
      <c r="M81" s="211"/>
      <c r="N81" s="213"/>
      <c r="O81" s="211"/>
      <c r="P81" s="211"/>
      <c r="Q81" s="211"/>
      <c r="R81" s="214"/>
      <c r="S81" s="214"/>
      <c r="T81" s="214"/>
      <c r="U81" s="214"/>
    </row>
    <row r="82" spans="2:21" s="210" customFormat="1" ht="23.25" customHeight="1">
      <c r="B82" s="1184"/>
      <c r="C82" s="1191"/>
      <c r="D82" s="758" t="s">
        <v>72</v>
      </c>
      <c r="E82" s="757" t="s">
        <v>73</v>
      </c>
      <c r="F82" s="1195"/>
      <c r="G82" s="1184"/>
      <c r="H82" s="1184"/>
      <c r="I82" s="1184"/>
      <c r="J82" s="1184"/>
      <c r="K82" s="560">
        <f>K58</f>
        <v>42234</v>
      </c>
      <c r="L82" s="211"/>
      <c r="M82" s="211"/>
      <c r="N82" s="213"/>
      <c r="O82" s="211"/>
      <c r="P82" s="211"/>
      <c r="Q82" s="211"/>
      <c r="R82" s="214"/>
      <c r="S82" s="214"/>
      <c r="T82" s="214"/>
      <c r="U82" s="214"/>
    </row>
    <row r="83" spans="2:21" s="210" customFormat="1" ht="42" customHeight="1">
      <c r="B83" s="217">
        <v>1</v>
      </c>
      <c r="C83" s="190" t="s">
        <v>679</v>
      </c>
      <c r="D83" s="216">
        <v>42135</v>
      </c>
      <c r="E83" s="216">
        <v>43049</v>
      </c>
      <c r="F83" s="331">
        <f>E83-D83+1</f>
        <v>915</v>
      </c>
      <c r="G83" s="237">
        <v>581</v>
      </c>
      <c r="H83" s="331">
        <f>(E83-$K$15)</f>
        <v>815</v>
      </c>
      <c r="I83" s="620"/>
      <c r="J83" s="518"/>
      <c r="K83" s="621"/>
      <c r="L83" s="211"/>
      <c r="M83" s="211"/>
      <c r="N83" s="213"/>
      <c r="O83" s="211"/>
      <c r="P83" s="211"/>
      <c r="Q83" s="211"/>
      <c r="R83" s="214"/>
      <c r="S83" s="214"/>
      <c r="T83" s="214"/>
      <c r="U83" s="214"/>
    </row>
    <row r="84" spans="2:21" s="210" customFormat="1" ht="42" customHeight="1">
      <c r="B84" s="217">
        <v>2</v>
      </c>
      <c r="C84" s="190" t="s">
        <v>679</v>
      </c>
      <c r="D84" s="216">
        <v>42150</v>
      </c>
      <c r="E84" s="216">
        <v>43976</v>
      </c>
      <c r="F84" s="331">
        <f>E84-D84+1</f>
        <v>1827</v>
      </c>
      <c r="G84" s="237">
        <v>650</v>
      </c>
      <c r="H84" s="331">
        <f>(E84-$K$15)</f>
        <v>1742</v>
      </c>
      <c r="I84" s="216"/>
      <c r="J84" s="219"/>
      <c r="K84" s="621"/>
      <c r="L84" s="211"/>
      <c r="M84" s="211"/>
      <c r="N84" s="213"/>
      <c r="O84" s="211"/>
      <c r="P84" s="211"/>
      <c r="Q84" s="211"/>
      <c r="R84" s="214"/>
      <c r="S84" s="214"/>
      <c r="T84" s="214"/>
      <c r="U84" s="214"/>
    </row>
    <row r="85" spans="2:21" s="210" customFormat="1" ht="30.75" customHeight="1">
      <c r="B85" s="1185" t="s">
        <v>74</v>
      </c>
      <c r="C85" s="1186"/>
      <c r="D85" s="220"/>
      <c r="E85" s="221"/>
      <c r="F85" s="234"/>
      <c r="G85" s="238"/>
      <c r="H85" s="685">
        <f>SUM(H83:H84)/30</f>
        <v>85.233333333333334</v>
      </c>
      <c r="I85" s="756"/>
      <c r="J85" s="222"/>
      <c r="K85" s="536"/>
      <c r="L85" s="211"/>
      <c r="M85" s="211"/>
      <c r="N85" s="213"/>
      <c r="O85" s="211"/>
      <c r="P85" s="211"/>
      <c r="Q85" s="211"/>
      <c r="R85" s="214"/>
      <c r="S85" s="214"/>
      <c r="T85" s="214"/>
      <c r="U85" s="214"/>
    </row>
    <row r="86" spans="2:21" s="210" customFormat="1" ht="15" customHeight="1">
      <c r="B86" s="228"/>
      <c r="C86" s="224"/>
      <c r="D86" s="225"/>
      <c r="E86" s="226"/>
      <c r="F86" s="227"/>
      <c r="G86" s="239"/>
      <c r="H86" s="239"/>
      <c r="I86" s="223"/>
      <c r="J86" s="223"/>
      <c r="K86" s="223"/>
      <c r="L86" s="211"/>
      <c r="M86" s="211"/>
      <c r="N86" s="213"/>
      <c r="O86" s="211"/>
      <c r="P86" s="211"/>
      <c r="Q86" s="211"/>
      <c r="R86" s="214"/>
      <c r="S86" s="214"/>
      <c r="T86" s="214"/>
      <c r="U86" s="214"/>
    </row>
    <row r="87" spans="2:21" s="210" customFormat="1" ht="32.25" customHeight="1">
      <c r="B87" s="329" t="s">
        <v>803</v>
      </c>
      <c r="C87" s="329"/>
      <c r="D87" s="329"/>
      <c r="E87" s="329"/>
      <c r="F87" s="233"/>
      <c r="G87" s="212"/>
      <c r="H87" s="212"/>
      <c r="I87" s="212"/>
      <c r="J87" s="212"/>
      <c r="K87" s="212"/>
      <c r="L87" s="211"/>
      <c r="M87" s="211"/>
      <c r="N87" s="213"/>
      <c r="O87" s="211"/>
      <c r="P87" s="211"/>
      <c r="Q87" s="211"/>
      <c r="R87" s="214"/>
      <c r="S87" s="214"/>
      <c r="T87" s="214"/>
      <c r="U87" s="214"/>
    </row>
    <row r="88" spans="2:21" s="210" customFormat="1" ht="23.25" customHeight="1">
      <c r="B88" s="1187" t="s">
        <v>205</v>
      </c>
      <c r="C88" s="1188" t="s">
        <v>51</v>
      </c>
      <c r="D88" s="1187" t="s">
        <v>69</v>
      </c>
      <c r="E88" s="1187"/>
      <c r="F88" s="1189" t="s">
        <v>284</v>
      </c>
      <c r="G88" s="1187" t="s">
        <v>75</v>
      </c>
      <c r="H88" s="1187" t="s">
        <v>285</v>
      </c>
      <c r="I88" s="1187" t="s">
        <v>70</v>
      </c>
      <c r="J88" s="1187" t="s">
        <v>71</v>
      </c>
      <c r="K88" s="222" t="s">
        <v>816</v>
      </c>
      <c r="L88" s="211"/>
      <c r="M88" s="211"/>
      <c r="N88" s="213"/>
      <c r="O88" s="211"/>
      <c r="P88" s="211"/>
      <c r="Q88" s="211"/>
      <c r="R88" s="214"/>
      <c r="S88" s="214"/>
      <c r="T88" s="214"/>
      <c r="U88" s="214"/>
    </row>
    <row r="89" spans="2:21" s="210" customFormat="1" ht="23.25" customHeight="1">
      <c r="B89" s="1187"/>
      <c r="C89" s="1188"/>
      <c r="D89" s="758" t="s">
        <v>72</v>
      </c>
      <c r="E89" s="757" t="s">
        <v>73</v>
      </c>
      <c r="F89" s="1189"/>
      <c r="G89" s="1187"/>
      <c r="H89" s="1187"/>
      <c r="I89" s="1187"/>
      <c r="J89" s="1187"/>
      <c r="K89" s="560">
        <f>K49</f>
        <v>42234</v>
      </c>
      <c r="L89" s="211"/>
      <c r="M89" s="211"/>
      <c r="N89" s="213"/>
      <c r="O89" s="211"/>
      <c r="P89" s="211"/>
      <c r="Q89" s="211"/>
      <c r="R89" s="214"/>
      <c r="S89" s="214"/>
      <c r="T89" s="214"/>
      <c r="U89" s="214"/>
    </row>
    <row r="90" spans="2:21" s="210" customFormat="1" ht="62.1" customHeight="1">
      <c r="B90" s="217">
        <v>1</v>
      </c>
      <c r="C90" s="190" t="s">
        <v>680</v>
      </c>
      <c r="D90" s="683">
        <v>41785</v>
      </c>
      <c r="E90" s="683">
        <v>42144</v>
      </c>
      <c r="F90" s="331">
        <f>E90-D90+1</f>
        <v>360</v>
      </c>
      <c r="G90" s="237">
        <v>754</v>
      </c>
      <c r="H90" s="619" t="s">
        <v>659</v>
      </c>
      <c r="I90" s="620">
        <v>42003</v>
      </c>
      <c r="J90" s="518" t="s">
        <v>658</v>
      </c>
      <c r="K90" s="621"/>
      <c r="L90" s="211"/>
      <c r="M90" s="211"/>
      <c r="N90" s="213"/>
      <c r="O90" s="211"/>
      <c r="P90" s="211"/>
      <c r="Q90" s="211"/>
      <c r="R90" s="214"/>
      <c r="S90" s="214"/>
      <c r="T90" s="214"/>
      <c r="U90" s="214"/>
    </row>
    <row r="91" spans="2:21" s="210" customFormat="1" ht="62.1" customHeight="1">
      <c r="B91" s="217">
        <v>2</v>
      </c>
      <c r="C91" s="190" t="s">
        <v>680</v>
      </c>
      <c r="D91" s="683">
        <v>42143</v>
      </c>
      <c r="E91" s="683">
        <v>42592</v>
      </c>
      <c r="F91" s="331">
        <f>E91-D91+1</f>
        <v>450</v>
      </c>
      <c r="G91" s="237">
        <v>867</v>
      </c>
      <c r="H91" s="619">
        <f>(E91-$K$15)</f>
        <v>358</v>
      </c>
      <c r="I91" s="620"/>
      <c r="J91" s="518"/>
      <c r="K91" s="621"/>
      <c r="L91" s="211"/>
      <c r="M91" s="211"/>
      <c r="N91" s="213"/>
      <c r="O91" s="211"/>
      <c r="P91" s="211"/>
      <c r="Q91" s="211"/>
      <c r="R91" s="214"/>
      <c r="S91" s="214"/>
      <c r="T91" s="214"/>
      <c r="U91" s="214"/>
    </row>
    <row r="92" spans="2:21" s="210" customFormat="1" ht="30.75" customHeight="1">
      <c r="B92" s="1182" t="s">
        <v>74</v>
      </c>
      <c r="C92" s="1182"/>
      <c r="D92" s="220"/>
      <c r="E92" s="221"/>
      <c r="F92" s="234"/>
      <c r="G92" s="238"/>
      <c r="H92" s="685">
        <f>SUM(H90:H91)/30</f>
        <v>11.933333333333334</v>
      </c>
      <c r="I92" s="756"/>
      <c r="J92" s="222"/>
      <c r="K92" s="536"/>
      <c r="L92" s="211"/>
      <c r="M92" s="211"/>
      <c r="N92" s="213"/>
      <c r="O92" s="211"/>
      <c r="P92" s="211"/>
      <c r="Q92" s="211"/>
      <c r="R92" s="214"/>
      <c r="S92" s="214"/>
      <c r="T92" s="214"/>
      <c r="U92" s="214"/>
    </row>
    <row r="93" spans="2:21" s="210" customFormat="1" ht="42" customHeight="1">
      <c r="B93" s="228"/>
      <c r="C93" s="224"/>
      <c r="D93" s="225"/>
      <c r="E93" s="226"/>
      <c r="F93" s="227"/>
      <c r="G93" s="239"/>
      <c r="H93" s="239"/>
      <c r="I93" s="223"/>
      <c r="J93" s="223"/>
      <c r="K93" s="223"/>
      <c r="L93" s="211"/>
      <c r="M93" s="211"/>
      <c r="N93" s="213"/>
      <c r="O93" s="211"/>
      <c r="P93" s="211"/>
      <c r="Q93" s="211"/>
      <c r="R93" s="214"/>
      <c r="S93" s="214"/>
      <c r="T93" s="214"/>
      <c r="U93" s="214"/>
    </row>
    <row r="94" spans="2:21" s="210" customFormat="1" ht="27.75" customHeight="1">
      <c r="B94" s="1196" t="s">
        <v>804</v>
      </c>
      <c r="C94" s="1196"/>
      <c r="D94" s="226"/>
      <c r="E94" s="227"/>
      <c r="F94" s="239"/>
      <c r="G94" s="239"/>
      <c r="H94" s="227"/>
      <c r="I94" s="223"/>
      <c r="J94" s="223"/>
      <c r="K94" s="211"/>
      <c r="L94" s="211"/>
      <c r="M94" s="213"/>
      <c r="N94" s="211"/>
      <c r="O94" s="211"/>
      <c r="P94" s="211"/>
      <c r="Q94" s="214"/>
      <c r="R94" s="214"/>
      <c r="S94" s="214"/>
      <c r="T94" s="214"/>
    </row>
    <row r="95" spans="2:21" s="210" customFormat="1" ht="6.75" customHeight="1">
      <c r="B95" s="223"/>
      <c r="C95" s="225"/>
      <c r="D95" s="225"/>
      <c r="E95" s="226"/>
      <c r="F95" s="227"/>
      <c r="G95" s="239"/>
      <c r="H95" s="239"/>
      <c r="I95" s="223"/>
      <c r="J95" s="223"/>
      <c r="K95" s="223"/>
      <c r="L95" s="211"/>
      <c r="M95" s="211"/>
      <c r="N95" s="213"/>
      <c r="O95" s="211"/>
      <c r="P95" s="211"/>
      <c r="Q95" s="211"/>
      <c r="R95" s="214"/>
      <c r="S95" s="214"/>
      <c r="T95" s="214"/>
      <c r="U95" s="214"/>
    </row>
    <row r="96" spans="2:21" s="210" customFormat="1" ht="24.75" customHeight="1">
      <c r="B96" s="329" t="s">
        <v>805</v>
      </c>
      <c r="C96" s="330"/>
      <c r="D96" s="330"/>
      <c r="E96" s="330"/>
      <c r="F96" s="233"/>
      <c r="G96" s="212"/>
      <c r="H96" s="212"/>
      <c r="I96" s="212"/>
      <c r="J96" s="212"/>
      <c r="K96" s="212"/>
      <c r="L96" s="211"/>
      <c r="M96" s="211"/>
      <c r="N96" s="213"/>
      <c r="O96" s="211"/>
      <c r="P96" s="211"/>
      <c r="Q96" s="211"/>
      <c r="R96" s="214"/>
      <c r="S96" s="214"/>
      <c r="T96" s="214"/>
      <c r="U96" s="214"/>
    </row>
    <row r="97" spans="2:21" s="210" customFormat="1" ht="24" customHeight="1">
      <c r="B97" s="1183" t="s">
        <v>205</v>
      </c>
      <c r="C97" s="1190" t="s">
        <v>51</v>
      </c>
      <c r="D97" s="1192" t="s">
        <v>69</v>
      </c>
      <c r="E97" s="1193"/>
      <c r="F97" s="1194" t="s">
        <v>284</v>
      </c>
      <c r="G97" s="1183" t="s">
        <v>75</v>
      </c>
      <c r="H97" s="1183" t="s">
        <v>285</v>
      </c>
      <c r="I97" s="1183" t="s">
        <v>70</v>
      </c>
      <c r="J97" s="1183" t="s">
        <v>71</v>
      </c>
      <c r="K97" s="222" t="s">
        <v>816</v>
      </c>
      <c r="L97" s="211"/>
      <c r="M97" s="211"/>
      <c r="N97" s="213"/>
      <c r="O97" s="211"/>
      <c r="P97" s="211"/>
      <c r="Q97" s="211"/>
      <c r="R97" s="214"/>
      <c r="S97" s="214"/>
      <c r="T97" s="214"/>
      <c r="U97" s="214"/>
    </row>
    <row r="98" spans="2:21" s="210" customFormat="1" ht="24" customHeight="1">
      <c r="B98" s="1184"/>
      <c r="C98" s="1191"/>
      <c r="D98" s="758" t="s">
        <v>72</v>
      </c>
      <c r="E98" s="757" t="s">
        <v>73</v>
      </c>
      <c r="F98" s="1195"/>
      <c r="G98" s="1184"/>
      <c r="H98" s="1184"/>
      <c r="I98" s="1184"/>
      <c r="J98" s="1184"/>
      <c r="K98" s="560">
        <f>K89</f>
        <v>42234</v>
      </c>
      <c r="L98" s="211"/>
      <c r="M98" s="211"/>
      <c r="N98" s="213"/>
      <c r="O98" s="211"/>
      <c r="P98" s="211"/>
      <c r="Q98" s="211"/>
      <c r="R98" s="214"/>
      <c r="S98" s="214"/>
      <c r="T98" s="214"/>
      <c r="U98" s="214"/>
    </row>
    <row r="99" spans="2:21" s="210" customFormat="1" ht="42" customHeight="1">
      <c r="B99" s="217">
        <v>1</v>
      </c>
      <c r="C99" s="190" t="s">
        <v>680</v>
      </c>
      <c r="D99" s="216">
        <v>42153</v>
      </c>
      <c r="E99" s="216">
        <v>42523</v>
      </c>
      <c r="F99" s="331">
        <f>E99-D99+1</f>
        <v>371</v>
      </c>
      <c r="G99" s="237">
        <v>880</v>
      </c>
      <c r="H99" s="570">
        <f>(E99-$K$15)</f>
        <v>289</v>
      </c>
      <c r="I99" s="218"/>
      <c r="J99" s="218"/>
      <c r="K99" s="218"/>
      <c r="L99" s="211"/>
      <c r="M99" s="213"/>
      <c r="N99" s="211"/>
      <c r="O99" s="211"/>
      <c r="P99" s="211"/>
      <c r="Q99" s="214"/>
      <c r="R99" s="214"/>
      <c r="S99" s="214"/>
      <c r="T99" s="214"/>
    </row>
    <row r="100" spans="2:21" s="210" customFormat="1" ht="42" customHeight="1">
      <c r="B100" s="217">
        <v>2</v>
      </c>
      <c r="C100" s="190" t="s">
        <v>680</v>
      </c>
      <c r="D100" s="216">
        <v>42118</v>
      </c>
      <c r="E100" s="216">
        <v>42574</v>
      </c>
      <c r="F100" s="331">
        <f>E100-D100+1</f>
        <v>457</v>
      </c>
      <c r="G100" s="237">
        <v>440</v>
      </c>
      <c r="H100" s="570">
        <f>(E100-$K$15)</f>
        <v>340</v>
      </c>
      <c r="I100" s="216"/>
      <c r="J100" s="219"/>
      <c r="K100" s="218"/>
      <c r="L100" s="211"/>
      <c r="M100" s="213"/>
      <c r="N100" s="211"/>
      <c r="O100" s="211"/>
      <c r="P100" s="211"/>
      <c r="Q100" s="214"/>
      <c r="R100" s="214"/>
      <c r="S100" s="214"/>
      <c r="T100" s="214"/>
    </row>
    <row r="101" spans="2:21" s="210" customFormat="1" ht="30.75" customHeight="1">
      <c r="B101" s="1185" t="s">
        <v>74</v>
      </c>
      <c r="C101" s="1186"/>
      <c r="D101" s="220"/>
      <c r="E101" s="221"/>
      <c r="F101" s="234"/>
      <c r="G101" s="238"/>
      <c r="H101" s="685">
        <f>SUM(H99:H100)/30</f>
        <v>20.966666666666665</v>
      </c>
      <c r="I101" s="756"/>
      <c r="J101" s="222"/>
      <c r="K101" s="536"/>
      <c r="L101" s="211"/>
      <c r="M101" s="211"/>
      <c r="N101" s="213"/>
      <c r="O101" s="211"/>
      <c r="P101" s="211"/>
      <c r="Q101" s="211"/>
      <c r="R101" s="214"/>
      <c r="S101" s="214"/>
      <c r="T101" s="214"/>
      <c r="U101" s="214"/>
    </row>
    <row r="102" spans="2:21" s="210" customFormat="1" ht="24.75" customHeight="1">
      <c r="B102" s="329" t="s">
        <v>806</v>
      </c>
      <c r="C102" s="330"/>
      <c r="D102" s="330"/>
      <c r="E102" s="330"/>
      <c r="F102" s="233"/>
      <c r="G102" s="212"/>
      <c r="H102" s="212"/>
      <c r="I102" s="212"/>
      <c r="J102" s="212"/>
      <c r="K102" s="212"/>
      <c r="L102" s="211"/>
      <c r="M102" s="211"/>
      <c r="N102" s="213"/>
      <c r="O102" s="211"/>
      <c r="P102" s="211"/>
      <c r="Q102" s="211"/>
      <c r="R102" s="214"/>
      <c r="S102" s="214"/>
      <c r="T102" s="214"/>
      <c r="U102" s="214"/>
    </row>
    <row r="103" spans="2:21" s="210" customFormat="1" ht="24" customHeight="1">
      <c r="B103" s="1183" t="s">
        <v>25</v>
      </c>
      <c r="C103" s="1190" t="s">
        <v>26</v>
      </c>
      <c r="D103" s="1192" t="s">
        <v>69</v>
      </c>
      <c r="E103" s="1193"/>
      <c r="F103" s="1194" t="s">
        <v>284</v>
      </c>
      <c r="G103" s="1183" t="s">
        <v>75</v>
      </c>
      <c r="H103" s="1183" t="s">
        <v>285</v>
      </c>
      <c r="I103" s="1183" t="s">
        <v>70</v>
      </c>
      <c r="J103" s="1183" t="s">
        <v>71</v>
      </c>
      <c r="K103" s="222" t="s">
        <v>541</v>
      </c>
      <c r="L103" s="211"/>
      <c r="M103" s="211"/>
      <c r="N103" s="213"/>
      <c r="O103" s="211"/>
      <c r="P103" s="211"/>
      <c r="Q103" s="211"/>
      <c r="R103" s="214"/>
      <c r="S103" s="214"/>
      <c r="T103" s="214"/>
      <c r="U103" s="214"/>
    </row>
    <row r="104" spans="2:21" s="210" customFormat="1" ht="24" customHeight="1">
      <c r="B104" s="1184"/>
      <c r="C104" s="1191"/>
      <c r="D104" s="758" t="s">
        <v>72</v>
      </c>
      <c r="E104" s="757" t="s">
        <v>73</v>
      </c>
      <c r="F104" s="1195"/>
      <c r="G104" s="1184"/>
      <c r="H104" s="1184"/>
      <c r="I104" s="1184"/>
      <c r="J104" s="1184"/>
      <c r="K104" s="560">
        <f>K98</f>
        <v>42234</v>
      </c>
      <c r="L104" s="211"/>
      <c r="M104" s="211"/>
      <c r="N104" s="213"/>
      <c r="O104" s="211"/>
      <c r="P104" s="211"/>
      <c r="Q104" s="211"/>
      <c r="R104" s="214"/>
      <c r="S104" s="214"/>
      <c r="T104" s="214"/>
      <c r="U104" s="214"/>
    </row>
    <row r="105" spans="2:21" s="210" customFormat="1" ht="42" customHeight="1">
      <c r="B105" s="217">
        <v>1</v>
      </c>
      <c r="C105" s="190" t="s">
        <v>680</v>
      </c>
      <c r="D105" s="683">
        <v>41459</v>
      </c>
      <c r="E105" s="683">
        <v>42326</v>
      </c>
      <c r="F105" s="331">
        <f>E105-D105+1</f>
        <v>868</v>
      </c>
      <c r="G105" s="237">
        <v>991</v>
      </c>
      <c r="H105" s="570">
        <f>(E105-$K$15)</f>
        <v>92</v>
      </c>
      <c r="I105" s="218"/>
      <c r="J105" s="218"/>
      <c r="K105" s="218"/>
      <c r="L105" s="211"/>
      <c r="M105" s="211"/>
      <c r="N105" s="213"/>
      <c r="O105" s="211"/>
      <c r="P105" s="211"/>
      <c r="Q105" s="211"/>
      <c r="R105" s="214"/>
      <c r="S105" s="214"/>
      <c r="T105" s="214"/>
      <c r="U105" s="214"/>
    </row>
    <row r="106" spans="2:21" s="210" customFormat="1" ht="42" customHeight="1">
      <c r="B106" s="217">
        <v>2</v>
      </c>
      <c r="C106" s="190" t="s">
        <v>680</v>
      </c>
      <c r="D106" s="683">
        <v>41827</v>
      </c>
      <c r="E106" s="683">
        <v>42546</v>
      </c>
      <c r="F106" s="331">
        <f>E106-D106+1</f>
        <v>720</v>
      </c>
      <c r="G106" s="237">
        <v>602</v>
      </c>
      <c r="H106" s="570">
        <f>(E106-$K$15)</f>
        <v>312</v>
      </c>
      <c r="I106" s="218"/>
      <c r="J106" s="218"/>
      <c r="K106" s="218"/>
      <c r="L106" s="211"/>
      <c r="M106" s="211"/>
      <c r="N106" s="213"/>
      <c r="O106" s="211"/>
      <c r="P106" s="211"/>
      <c r="Q106" s="211"/>
      <c r="R106" s="214"/>
      <c r="S106" s="214"/>
      <c r="T106" s="214"/>
      <c r="U106" s="214"/>
    </row>
    <row r="107" spans="2:21" s="210" customFormat="1" ht="42" customHeight="1">
      <c r="B107" s="217">
        <v>3</v>
      </c>
      <c r="C107" s="190" t="s">
        <v>680</v>
      </c>
      <c r="D107" s="683">
        <v>41946</v>
      </c>
      <c r="E107" s="683">
        <v>42575</v>
      </c>
      <c r="F107" s="331">
        <f>E107-D107+1</f>
        <v>630</v>
      </c>
      <c r="G107" s="237">
        <v>807</v>
      </c>
      <c r="H107" s="570">
        <f>(E107-$K$15)</f>
        <v>341</v>
      </c>
      <c r="I107" s="218"/>
      <c r="J107" s="218"/>
      <c r="K107" s="218"/>
      <c r="L107" s="211"/>
      <c r="M107" s="211"/>
      <c r="N107" s="213"/>
      <c r="O107" s="211"/>
      <c r="P107" s="211"/>
      <c r="Q107" s="211"/>
      <c r="R107" s="214"/>
      <c r="S107" s="214"/>
      <c r="T107" s="214"/>
      <c r="U107" s="214"/>
    </row>
    <row r="108" spans="2:21" s="210" customFormat="1" ht="42" customHeight="1">
      <c r="B108" s="684">
        <v>4</v>
      </c>
      <c r="C108" s="190" t="s">
        <v>680</v>
      </c>
      <c r="D108" s="683">
        <v>42216</v>
      </c>
      <c r="E108" s="683">
        <v>42515</v>
      </c>
      <c r="F108" s="331">
        <f>E108-D108+1</f>
        <v>300</v>
      </c>
      <c r="G108" s="237">
        <v>481</v>
      </c>
      <c r="H108" s="570">
        <f>(E108-$K$15)</f>
        <v>281</v>
      </c>
      <c r="I108" s="216"/>
      <c r="J108" s="219"/>
      <c r="K108" s="218"/>
      <c r="L108" s="211"/>
      <c r="M108" s="211"/>
      <c r="N108" s="213"/>
      <c r="O108" s="211"/>
      <c r="P108" s="211"/>
      <c r="Q108" s="211"/>
      <c r="R108" s="214"/>
      <c r="S108" s="214"/>
      <c r="T108" s="214"/>
      <c r="U108" s="214"/>
    </row>
    <row r="109" spans="2:21" s="210" customFormat="1" ht="30.75" customHeight="1">
      <c r="B109" s="1185" t="s">
        <v>74</v>
      </c>
      <c r="C109" s="1186"/>
      <c r="D109" s="220"/>
      <c r="E109" s="221"/>
      <c r="F109" s="234"/>
      <c r="G109" s="238"/>
      <c r="H109" s="685">
        <f>SUM(H105:H108)/30</f>
        <v>34.200000000000003</v>
      </c>
      <c r="I109" s="756"/>
      <c r="J109" s="222"/>
      <c r="K109" s="536"/>
      <c r="L109" s="211"/>
      <c r="M109" s="211"/>
      <c r="N109" s="213"/>
      <c r="O109" s="211"/>
      <c r="P109" s="211"/>
      <c r="Q109" s="211"/>
      <c r="R109" s="214"/>
      <c r="S109" s="214"/>
      <c r="T109" s="214"/>
      <c r="U109" s="214"/>
    </row>
    <row r="110" spans="2:21" s="210" customFormat="1" ht="8.25" customHeight="1">
      <c r="B110" s="223"/>
      <c r="C110" s="225"/>
      <c r="D110" s="225"/>
      <c r="E110" s="226"/>
      <c r="F110" s="227"/>
      <c r="G110" s="239"/>
      <c r="H110" s="239"/>
      <c r="I110" s="223"/>
      <c r="J110" s="223"/>
      <c r="K110" s="223"/>
      <c r="L110" s="211"/>
      <c r="M110" s="211"/>
      <c r="N110" s="213"/>
      <c r="O110" s="211"/>
      <c r="P110" s="211"/>
      <c r="Q110" s="211"/>
      <c r="R110" s="214"/>
      <c r="S110" s="214"/>
      <c r="T110" s="214"/>
      <c r="U110" s="214"/>
    </row>
    <row r="111" spans="2:21" s="210" customFormat="1" ht="8.25" customHeight="1">
      <c r="B111" s="223"/>
      <c r="C111" s="225"/>
      <c r="D111" s="225"/>
      <c r="E111" s="226"/>
      <c r="F111" s="227"/>
      <c r="G111" s="239"/>
      <c r="H111" s="239"/>
      <c r="I111" s="223"/>
      <c r="J111" s="223"/>
      <c r="K111" s="223"/>
      <c r="L111" s="211"/>
      <c r="M111" s="211"/>
      <c r="N111" s="213"/>
      <c r="O111" s="211"/>
      <c r="P111" s="211"/>
      <c r="Q111" s="211"/>
      <c r="R111" s="214"/>
      <c r="S111" s="214"/>
      <c r="T111" s="214"/>
      <c r="U111" s="214"/>
    </row>
    <row r="112" spans="2:21" s="210" customFormat="1" ht="35.1" customHeight="1">
      <c r="B112" s="329" t="s">
        <v>807</v>
      </c>
      <c r="C112" s="329"/>
      <c r="D112" s="329"/>
      <c r="E112" s="329"/>
      <c r="F112" s="233"/>
      <c r="G112" s="212"/>
      <c r="H112" s="212"/>
      <c r="I112" s="212"/>
      <c r="J112" s="212"/>
      <c r="K112" s="212"/>
      <c r="L112" s="211"/>
      <c r="M112" s="211"/>
      <c r="N112" s="213"/>
      <c r="O112" s="211"/>
      <c r="P112" s="211"/>
      <c r="Q112" s="211"/>
      <c r="R112" s="214"/>
      <c r="S112" s="214"/>
      <c r="T112" s="214"/>
      <c r="U112" s="214"/>
    </row>
    <row r="113" spans="2:21" s="210" customFormat="1" ht="21" customHeight="1">
      <c r="B113" s="1183" t="s">
        <v>205</v>
      </c>
      <c r="C113" s="1190" t="s">
        <v>51</v>
      </c>
      <c r="D113" s="1192" t="s">
        <v>69</v>
      </c>
      <c r="E113" s="1193"/>
      <c r="F113" s="1194" t="s">
        <v>284</v>
      </c>
      <c r="G113" s="1183" t="s">
        <v>75</v>
      </c>
      <c r="H113" s="1183" t="s">
        <v>285</v>
      </c>
      <c r="I113" s="1183" t="s">
        <v>70</v>
      </c>
      <c r="J113" s="1183" t="s">
        <v>71</v>
      </c>
      <c r="K113" s="222" t="s">
        <v>817</v>
      </c>
      <c r="L113" s="211"/>
      <c r="M113" s="211"/>
      <c r="N113" s="213"/>
      <c r="O113" s="211"/>
      <c r="P113" s="211"/>
      <c r="Q113" s="211"/>
      <c r="R113" s="214"/>
      <c r="S113" s="214"/>
      <c r="T113" s="214"/>
      <c r="U113" s="214"/>
    </row>
    <row r="114" spans="2:21" s="210" customFormat="1" ht="25.5" customHeight="1">
      <c r="B114" s="1184"/>
      <c r="C114" s="1191"/>
      <c r="D114" s="758" t="s">
        <v>72</v>
      </c>
      <c r="E114" s="757" t="s">
        <v>73</v>
      </c>
      <c r="F114" s="1195"/>
      <c r="G114" s="1184"/>
      <c r="H114" s="1184"/>
      <c r="I114" s="1184"/>
      <c r="J114" s="1184"/>
      <c r="K114" s="560">
        <f>K98</f>
        <v>42234</v>
      </c>
      <c r="L114" s="211"/>
      <c r="M114" s="211"/>
      <c r="N114" s="213"/>
      <c r="O114" s="211"/>
      <c r="P114" s="211"/>
      <c r="Q114" s="211"/>
      <c r="R114" s="214"/>
      <c r="S114" s="214"/>
      <c r="T114" s="214"/>
      <c r="U114" s="214"/>
    </row>
    <row r="115" spans="2:21" s="210" customFormat="1" ht="62.1" customHeight="1">
      <c r="B115" s="217">
        <v>1</v>
      </c>
      <c r="C115" s="525" t="s">
        <v>679</v>
      </c>
      <c r="D115" s="216">
        <v>41821</v>
      </c>
      <c r="E115" s="216">
        <v>42369</v>
      </c>
      <c r="F115" s="331">
        <f t="shared" ref="F115:F117" si="2">E115-D115+1</f>
        <v>549</v>
      </c>
      <c r="G115" s="237">
        <v>487</v>
      </c>
      <c r="H115" s="331">
        <f>(E115-$K$15)</f>
        <v>135</v>
      </c>
      <c r="I115" s="218"/>
      <c r="J115" s="218"/>
      <c r="K115" s="218"/>
      <c r="L115" s="211"/>
      <c r="M115" s="211"/>
      <c r="N115" s="213"/>
      <c r="O115" s="211"/>
      <c r="P115" s="211"/>
      <c r="Q115" s="211"/>
      <c r="R115" s="214"/>
      <c r="S115" s="214"/>
      <c r="T115" s="214"/>
      <c r="U115" s="214"/>
    </row>
    <row r="116" spans="2:21" s="210" customFormat="1" ht="62.1" customHeight="1">
      <c r="B116" s="217">
        <v>2</v>
      </c>
      <c r="C116" s="525" t="s">
        <v>679</v>
      </c>
      <c r="D116" s="216">
        <v>41842</v>
      </c>
      <c r="E116" s="216">
        <v>42388</v>
      </c>
      <c r="F116" s="331">
        <f t="shared" si="2"/>
        <v>547</v>
      </c>
      <c r="G116" s="237">
        <v>232</v>
      </c>
      <c r="H116" s="331">
        <f>(E116-$K$15)</f>
        <v>154</v>
      </c>
      <c r="I116" s="218"/>
      <c r="J116" s="218"/>
      <c r="K116" s="218"/>
      <c r="L116" s="211"/>
      <c r="M116" s="211"/>
      <c r="N116" s="213"/>
      <c r="O116" s="211"/>
      <c r="P116" s="211"/>
      <c r="Q116" s="211"/>
      <c r="R116" s="214"/>
      <c r="S116" s="214"/>
      <c r="T116" s="214"/>
      <c r="U116" s="214"/>
    </row>
    <row r="117" spans="2:21" s="210" customFormat="1" ht="62.1" customHeight="1">
      <c r="B117" s="217">
        <v>3</v>
      </c>
      <c r="C117" s="525" t="s">
        <v>680</v>
      </c>
      <c r="D117" s="216">
        <v>42167</v>
      </c>
      <c r="E117" s="216">
        <v>42706</v>
      </c>
      <c r="F117" s="331">
        <f t="shared" si="2"/>
        <v>540</v>
      </c>
      <c r="G117" s="237">
        <v>357</v>
      </c>
      <c r="H117" s="331">
        <f>(E117-$K$15)</f>
        <v>472</v>
      </c>
      <c r="I117" s="218"/>
      <c r="J117" s="218"/>
      <c r="K117" s="218"/>
      <c r="L117" s="211"/>
      <c r="M117" s="211"/>
      <c r="N117" s="213"/>
      <c r="O117" s="211"/>
      <c r="P117" s="211"/>
      <c r="Q117" s="211"/>
      <c r="R117" s="214"/>
      <c r="S117" s="214"/>
      <c r="T117" s="214"/>
      <c r="U117" s="214"/>
    </row>
    <row r="118" spans="2:21" s="210" customFormat="1" ht="28.5" customHeight="1">
      <c r="B118" s="1185" t="s">
        <v>74</v>
      </c>
      <c r="C118" s="1186"/>
      <c r="D118" s="220"/>
      <c r="E118" s="221"/>
      <c r="F118" s="234"/>
      <c r="G118" s="238"/>
      <c r="H118" s="685">
        <f>SUM(H115:H117)/30</f>
        <v>25.366666666666667</v>
      </c>
      <c r="I118" s="756"/>
      <c r="J118" s="222"/>
      <c r="K118" s="536"/>
      <c r="L118" s="211"/>
      <c r="M118" s="211"/>
      <c r="N118" s="213"/>
      <c r="O118" s="211"/>
      <c r="P118" s="549"/>
      <c r="Q118" s="211"/>
      <c r="R118" s="214"/>
      <c r="S118" s="214"/>
      <c r="T118" s="214"/>
      <c r="U118" s="214"/>
    </row>
    <row r="119" spans="2:21" s="210" customFormat="1" ht="42" customHeight="1">
      <c r="B119" s="228"/>
      <c r="C119" s="224"/>
      <c r="D119" s="225"/>
      <c r="E119" s="226"/>
      <c r="F119" s="227"/>
      <c r="G119" s="239"/>
      <c r="H119" s="239"/>
      <c r="I119" s="223"/>
      <c r="J119" s="223"/>
      <c r="K119" s="223"/>
      <c r="L119" s="211"/>
      <c r="M119" s="211"/>
      <c r="N119" s="213"/>
      <c r="O119" s="211"/>
      <c r="P119" s="211"/>
      <c r="Q119" s="211"/>
      <c r="R119" s="214"/>
      <c r="S119" s="214"/>
      <c r="T119" s="214"/>
      <c r="U119" s="214"/>
    </row>
    <row r="120" spans="2:21" s="210" customFormat="1" ht="25.5" customHeight="1">
      <c r="B120" s="329" t="s">
        <v>808</v>
      </c>
      <c r="C120" s="329"/>
      <c r="D120" s="329"/>
      <c r="E120" s="329"/>
      <c r="F120" s="233"/>
      <c r="G120" s="212"/>
      <c r="H120" s="212"/>
      <c r="I120" s="212"/>
      <c r="J120" s="212"/>
      <c r="K120" s="212"/>
      <c r="L120" s="211"/>
      <c r="M120" s="211"/>
      <c r="N120" s="213"/>
      <c r="O120" s="211"/>
      <c r="P120" s="211"/>
      <c r="Q120" s="211"/>
      <c r="R120" s="214"/>
      <c r="S120" s="214"/>
      <c r="T120" s="214"/>
      <c r="U120" s="214"/>
    </row>
    <row r="121" spans="2:21" s="210" customFormat="1" ht="23.25" customHeight="1">
      <c r="B121" s="1183" t="s">
        <v>205</v>
      </c>
      <c r="C121" s="1190" t="s">
        <v>51</v>
      </c>
      <c r="D121" s="1192" t="s">
        <v>69</v>
      </c>
      <c r="E121" s="1193"/>
      <c r="F121" s="1194" t="s">
        <v>284</v>
      </c>
      <c r="G121" s="1183" t="s">
        <v>75</v>
      </c>
      <c r="H121" s="1183" t="s">
        <v>285</v>
      </c>
      <c r="I121" s="1183" t="s">
        <v>70</v>
      </c>
      <c r="J121" s="1183" t="s">
        <v>71</v>
      </c>
      <c r="K121" s="222" t="s">
        <v>811</v>
      </c>
      <c r="L121" s="211"/>
      <c r="M121" s="211"/>
      <c r="N121" s="213"/>
      <c r="O121" s="211"/>
      <c r="P121" s="211"/>
      <c r="Q121" s="211"/>
      <c r="R121" s="214"/>
      <c r="S121" s="214"/>
      <c r="T121" s="214"/>
      <c r="U121" s="214"/>
    </row>
    <row r="122" spans="2:21" s="210" customFormat="1" ht="23.25" customHeight="1">
      <c r="B122" s="1184"/>
      <c r="C122" s="1191"/>
      <c r="D122" s="758" t="s">
        <v>72</v>
      </c>
      <c r="E122" s="757" t="s">
        <v>73</v>
      </c>
      <c r="F122" s="1195"/>
      <c r="G122" s="1184"/>
      <c r="H122" s="1184"/>
      <c r="I122" s="1184"/>
      <c r="J122" s="1184"/>
      <c r="K122" s="560">
        <f>K98</f>
        <v>42234</v>
      </c>
      <c r="L122" s="211"/>
      <c r="M122" s="211"/>
      <c r="N122" s="213"/>
      <c r="O122" s="211"/>
      <c r="P122" s="211"/>
      <c r="Q122" s="211"/>
      <c r="R122" s="214"/>
      <c r="S122" s="214"/>
      <c r="T122" s="214"/>
      <c r="U122" s="214"/>
    </row>
    <row r="123" spans="2:21" s="210" customFormat="1" ht="42" customHeight="1">
      <c r="B123" s="217">
        <v>1</v>
      </c>
      <c r="C123" s="190" t="s">
        <v>679</v>
      </c>
      <c r="D123" s="216">
        <v>42135</v>
      </c>
      <c r="E123" s="216">
        <v>43049</v>
      </c>
      <c r="F123" s="331">
        <f>E123-D123+1</f>
        <v>915</v>
      </c>
      <c r="G123" s="237">
        <v>581</v>
      </c>
      <c r="H123" s="331">
        <f>(E123-$K$15)</f>
        <v>815</v>
      </c>
      <c r="I123" s="620"/>
      <c r="J123" s="518"/>
      <c r="K123" s="621"/>
      <c r="L123" s="211"/>
      <c r="M123" s="211"/>
      <c r="N123" s="213"/>
      <c r="O123" s="211"/>
      <c r="P123" s="211"/>
      <c r="Q123" s="211"/>
      <c r="R123" s="214"/>
      <c r="S123" s="214"/>
      <c r="T123" s="214"/>
      <c r="U123" s="214"/>
    </row>
    <row r="124" spans="2:21" s="210" customFormat="1" ht="42" customHeight="1">
      <c r="B124" s="217">
        <v>2</v>
      </c>
      <c r="C124" s="190" t="s">
        <v>679</v>
      </c>
      <c r="D124" s="216">
        <v>42150</v>
      </c>
      <c r="E124" s="216">
        <v>43976</v>
      </c>
      <c r="F124" s="331">
        <f>E124-D124+1</f>
        <v>1827</v>
      </c>
      <c r="G124" s="237">
        <v>650</v>
      </c>
      <c r="H124" s="331">
        <f>(E124-$K$15)</f>
        <v>1742</v>
      </c>
      <c r="I124" s="216"/>
      <c r="J124" s="219"/>
      <c r="K124" s="621"/>
      <c r="L124" s="211"/>
      <c r="M124" s="211"/>
      <c r="N124" s="213"/>
      <c r="O124" s="211"/>
      <c r="P124" s="211"/>
      <c r="Q124" s="211"/>
      <c r="R124" s="214"/>
      <c r="S124" s="214"/>
      <c r="T124" s="214"/>
      <c r="U124" s="214"/>
    </row>
    <row r="125" spans="2:21" s="210" customFormat="1" ht="30.75" customHeight="1">
      <c r="B125" s="1185" t="s">
        <v>74</v>
      </c>
      <c r="C125" s="1186"/>
      <c r="D125" s="220"/>
      <c r="E125" s="221"/>
      <c r="F125" s="234"/>
      <c r="G125" s="238"/>
      <c r="H125" s="685">
        <f>SUM(H123:H124)/30</f>
        <v>85.233333333333334</v>
      </c>
      <c r="I125" s="756"/>
      <c r="J125" s="222"/>
      <c r="K125" s="536"/>
      <c r="L125" s="211"/>
      <c r="M125" s="211"/>
      <c r="N125" s="213"/>
      <c r="O125" s="211"/>
      <c r="P125" s="211"/>
      <c r="Q125" s="211"/>
      <c r="R125" s="214"/>
      <c r="S125" s="214"/>
      <c r="T125" s="214"/>
      <c r="U125" s="214"/>
    </row>
    <row r="126" spans="2:21" s="210" customFormat="1" ht="15" customHeight="1">
      <c r="B126" s="228"/>
      <c r="C126" s="224"/>
      <c r="D126" s="225"/>
      <c r="E126" s="226"/>
      <c r="F126" s="227"/>
      <c r="G126" s="239"/>
      <c r="H126" s="239"/>
      <c r="I126" s="223"/>
      <c r="J126" s="223"/>
      <c r="K126" s="223"/>
      <c r="L126" s="211"/>
      <c r="M126" s="211"/>
      <c r="N126" s="213"/>
      <c r="O126" s="211"/>
      <c r="P126" s="211"/>
      <c r="Q126" s="211"/>
      <c r="R126" s="214"/>
      <c r="S126" s="214"/>
      <c r="T126" s="214"/>
      <c r="U126" s="214"/>
    </row>
    <row r="127" spans="2:21" s="210" customFormat="1" ht="32.25" customHeight="1">
      <c r="B127" s="329" t="s">
        <v>809</v>
      </c>
      <c r="C127" s="329"/>
      <c r="D127" s="329"/>
      <c r="E127" s="329"/>
      <c r="F127" s="233"/>
      <c r="G127" s="212"/>
      <c r="H127" s="212"/>
      <c r="I127" s="212"/>
      <c r="J127" s="212"/>
      <c r="K127" s="212"/>
      <c r="L127" s="211"/>
      <c r="M127" s="211"/>
      <c r="N127" s="213"/>
      <c r="O127" s="211"/>
      <c r="P127" s="211"/>
      <c r="Q127" s="211"/>
      <c r="R127" s="214"/>
      <c r="S127" s="214"/>
      <c r="T127" s="214"/>
      <c r="U127" s="214"/>
    </row>
    <row r="128" spans="2:21" s="210" customFormat="1" ht="23.25" customHeight="1">
      <c r="B128" s="1187" t="s">
        <v>205</v>
      </c>
      <c r="C128" s="1188" t="s">
        <v>51</v>
      </c>
      <c r="D128" s="1187" t="s">
        <v>69</v>
      </c>
      <c r="E128" s="1187"/>
      <c r="F128" s="1189" t="s">
        <v>284</v>
      </c>
      <c r="G128" s="1187" t="s">
        <v>75</v>
      </c>
      <c r="H128" s="1187" t="s">
        <v>285</v>
      </c>
      <c r="I128" s="1187" t="s">
        <v>70</v>
      </c>
      <c r="J128" s="1187" t="s">
        <v>71</v>
      </c>
      <c r="K128" s="222" t="s">
        <v>811</v>
      </c>
      <c r="L128" s="211"/>
      <c r="M128" s="211"/>
      <c r="N128" s="213"/>
      <c r="O128" s="211"/>
      <c r="P128" s="211"/>
      <c r="Q128" s="211"/>
      <c r="R128" s="214"/>
      <c r="S128" s="214"/>
      <c r="T128" s="214"/>
      <c r="U128" s="214"/>
    </row>
    <row r="129" spans="2:21" s="210" customFormat="1" ht="23.25" customHeight="1">
      <c r="B129" s="1187"/>
      <c r="C129" s="1188"/>
      <c r="D129" s="758" t="s">
        <v>72</v>
      </c>
      <c r="E129" s="757" t="s">
        <v>73</v>
      </c>
      <c r="F129" s="1189"/>
      <c r="G129" s="1187"/>
      <c r="H129" s="1187"/>
      <c r="I129" s="1187"/>
      <c r="J129" s="1187"/>
      <c r="K129" s="560">
        <f>K89</f>
        <v>42234</v>
      </c>
      <c r="L129" s="211"/>
      <c r="M129" s="211"/>
      <c r="N129" s="213"/>
      <c r="O129" s="211"/>
      <c r="P129" s="211"/>
      <c r="Q129" s="211"/>
      <c r="R129" s="214"/>
      <c r="S129" s="214"/>
      <c r="T129" s="214"/>
      <c r="U129" s="214"/>
    </row>
    <row r="130" spans="2:21" s="210" customFormat="1" ht="62.1" customHeight="1">
      <c r="B130" s="217">
        <v>1</v>
      </c>
      <c r="C130" s="190" t="s">
        <v>680</v>
      </c>
      <c r="D130" s="683">
        <v>41785</v>
      </c>
      <c r="E130" s="683">
        <v>42144</v>
      </c>
      <c r="F130" s="331">
        <f>E130-D130+1</f>
        <v>360</v>
      </c>
      <c r="G130" s="237">
        <v>754</v>
      </c>
      <c r="H130" s="619" t="s">
        <v>659</v>
      </c>
      <c r="I130" s="620">
        <v>42003</v>
      </c>
      <c r="J130" s="518" t="s">
        <v>658</v>
      </c>
      <c r="K130" s="621"/>
      <c r="L130" s="211"/>
      <c r="M130" s="211"/>
      <c r="N130" s="213"/>
      <c r="O130" s="211"/>
      <c r="P130" s="211"/>
      <c r="Q130" s="211"/>
      <c r="R130" s="214"/>
      <c r="S130" s="214"/>
      <c r="T130" s="214"/>
      <c r="U130" s="214"/>
    </row>
    <row r="131" spans="2:21" s="210" customFormat="1" ht="62.1" customHeight="1">
      <c r="B131" s="217">
        <v>2</v>
      </c>
      <c r="C131" s="190" t="s">
        <v>680</v>
      </c>
      <c r="D131" s="683">
        <v>42143</v>
      </c>
      <c r="E131" s="683">
        <v>42592</v>
      </c>
      <c r="F131" s="331">
        <f>E131-D131+1</f>
        <v>450</v>
      </c>
      <c r="G131" s="237">
        <v>867</v>
      </c>
      <c r="H131" s="619">
        <f>(E131-$K$15)</f>
        <v>358</v>
      </c>
      <c r="I131" s="620"/>
      <c r="J131" s="518"/>
      <c r="K131" s="621"/>
      <c r="L131" s="211"/>
      <c r="M131" s="211"/>
      <c r="N131" s="213"/>
      <c r="O131" s="211"/>
      <c r="P131" s="211"/>
      <c r="Q131" s="211"/>
      <c r="R131" s="214"/>
      <c r="S131" s="214"/>
      <c r="T131" s="214"/>
      <c r="U131" s="214"/>
    </row>
    <row r="132" spans="2:21" s="210" customFormat="1" ht="30.75" customHeight="1">
      <c r="B132" s="1182" t="s">
        <v>74</v>
      </c>
      <c r="C132" s="1182"/>
      <c r="D132" s="220"/>
      <c r="E132" s="221"/>
      <c r="F132" s="234"/>
      <c r="G132" s="238"/>
      <c r="H132" s="685">
        <f>SUM(H130:H131)/30</f>
        <v>11.933333333333334</v>
      </c>
      <c r="I132" s="756"/>
      <c r="J132" s="222"/>
      <c r="K132" s="536"/>
      <c r="L132" s="211"/>
      <c r="M132" s="211"/>
      <c r="N132" s="213"/>
      <c r="O132" s="211"/>
      <c r="P132" s="211"/>
      <c r="Q132" s="211"/>
      <c r="R132" s="214"/>
      <c r="S132" s="214"/>
      <c r="T132" s="214"/>
      <c r="U132" s="214"/>
    </row>
    <row r="133" spans="2:21" s="210" customFormat="1" ht="19.5" customHeight="1">
      <c r="B133" s="229"/>
      <c r="C133" s="230"/>
      <c r="D133" s="230"/>
      <c r="E133" s="229"/>
      <c r="F133" s="235"/>
      <c r="G133" s="231"/>
      <c r="H133" s="231"/>
      <c r="I133" s="231"/>
      <c r="J133" s="231"/>
      <c r="K133" s="231"/>
      <c r="L133" s="229"/>
      <c r="M133" s="229"/>
      <c r="N133" s="229"/>
      <c r="O133" s="229"/>
      <c r="P133" s="229"/>
      <c r="Q133" s="229"/>
    </row>
    <row r="134" spans="2:21" s="245" customFormat="1" ht="15.95" customHeight="1">
      <c r="B134" s="158" t="s">
        <v>247</v>
      </c>
      <c r="C134" s="159" t="s">
        <v>248</v>
      </c>
      <c r="D134" s="252"/>
      <c r="E134" s="244"/>
      <c r="F134" s="253"/>
      <c r="G134" s="254"/>
      <c r="H134" s="254"/>
      <c r="I134" s="254"/>
      <c r="J134" s="254"/>
      <c r="K134" s="254"/>
      <c r="L134" s="244"/>
      <c r="M134" s="244"/>
      <c r="N134" s="244"/>
      <c r="O134" s="244"/>
      <c r="P134" s="244"/>
      <c r="Q134" s="244"/>
      <c r="R134" s="244"/>
      <c r="S134" s="244"/>
    </row>
    <row r="135" spans="2:21" s="245" customFormat="1" ht="15.95" customHeight="1">
      <c r="B135" s="160" t="s">
        <v>289</v>
      </c>
      <c r="C135" s="159" t="s">
        <v>288</v>
      </c>
      <c r="D135" s="252"/>
      <c r="E135" s="244"/>
      <c r="F135" s="253"/>
      <c r="G135" s="254"/>
      <c r="H135" s="254"/>
      <c r="I135" s="254"/>
      <c r="J135" s="254"/>
      <c r="K135" s="254"/>
      <c r="L135" s="244"/>
      <c r="M135" s="244"/>
      <c r="N135" s="244"/>
      <c r="O135" s="244"/>
      <c r="P135" s="244"/>
      <c r="Q135" s="244"/>
      <c r="R135" s="244"/>
      <c r="S135" s="244"/>
    </row>
    <row r="136" spans="2:21" s="245" customFormat="1" ht="15.95" customHeight="1">
      <c r="B136" s="160" t="s">
        <v>290</v>
      </c>
      <c r="C136" s="159" t="s">
        <v>249</v>
      </c>
      <c r="D136" s="252"/>
      <c r="E136" s="244"/>
      <c r="F136" s="253"/>
      <c r="G136" s="254"/>
      <c r="H136" s="254"/>
      <c r="I136" s="254"/>
      <c r="J136" s="254"/>
      <c r="K136" s="254"/>
      <c r="L136" s="244"/>
      <c r="M136" s="244"/>
      <c r="N136" s="244"/>
      <c r="O136" s="244"/>
      <c r="P136" s="244"/>
      <c r="Q136" s="244"/>
      <c r="R136" s="244"/>
      <c r="S136" s="244"/>
    </row>
    <row r="137" spans="2:21" s="245" customFormat="1" ht="32.25" customHeight="1">
      <c r="B137" s="160" t="s">
        <v>291</v>
      </c>
      <c r="C137" s="1197" t="s">
        <v>287</v>
      </c>
      <c r="D137" s="1197"/>
      <c r="E137" s="1197"/>
      <c r="F137" s="1197"/>
      <c r="G137" s="1197"/>
      <c r="H137" s="1197"/>
      <c r="I137" s="1197"/>
      <c r="J137" s="254"/>
      <c r="K137" s="254"/>
      <c r="L137" s="244"/>
      <c r="M137" s="244"/>
      <c r="N137" s="244"/>
      <c r="O137" s="244"/>
      <c r="P137" s="244"/>
      <c r="Q137" s="244"/>
      <c r="R137" s="244"/>
      <c r="S137" s="244"/>
    </row>
    <row r="138" spans="2:21" s="245" customFormat="1" ht="15.95" customHeight="1">
      <c r="B138" s="160" t="s">
        <v>319</v>
      </c>
      <c r="C138" s="165" t="s">
        <v>250</v>
      </c>
      <c r="D138" s="209"/>
      <c r="E138" s="197"/>
      <c r="F138" s="255"/>
      <c r="G138" s="209"/>
      <c r="H138" s="209"/>
      <c r="I138" s="209"/>
      <c r="J138" s="209"/>
      <c r="K138" s="209"/>
      <c r="L138" s="197"/>
      <c r="M138" s="197"/>
      <c r="N138" s="244"/>
      <c r="O138" s="244"/>
      <c r="P138" s="244"/>
      <c r="Q138" s="244"/>
    </row>
    <row r="139" spans="2:21" s="245" customFormat="1" ht="15.95" customHeight="1">
      <c r="B139" s="244"/>
      <c r="C139" s="252"/>
      <c r="D139" s="252"/>
      <c r="E139" s="244"/>
      <c r="F139" s="253"/>
      <c r="G139" s="254"/>
      <c r="H139" s="254"/>
      <c r="I139" s="254"/>
      <c r="J139" s="254"/>
      <c r="K139" s="254"/>
      <c r="L139" s="244"/>
      <c r="M139" s="244"/>
      <c r="N139" s="244"/>
      <c r="O139" s="244"/>
      <c r="P139" s="244"/>
      <c r="Q139" s="244"/>
    </row>
    <row r="147" spans="2:2" ht="15.95" customHeight="1">
      <c r="B147" s="164"/>
    </row>
    <row r="148" spans="2:2" ht="15.95" customHeight="1">
      <c r="B148" s="164"/>
    </row>
    <row r="149" spans="2:2" ht="15.95" customHeight="1">
      <c r="B149" s="164"/>
    </row>
    <row r="150" spans="2:2" ht="15.95" customHeight="1">
      <c r="B150" s="164"/>
    </row>
    <row r="151" spans="2:2" ht="15.95" customHeight="1">
      <c r="B151" s="164"/>
    </row>
    <row r="152" spans="2:2" ht="15.95" customHeight="1">
      <c r="B152" s="164"/>
    </row>
  </sheetData>
  <mergeCells count="149">
    <mergeCell ref="B2:C2"/>
    <mergeCell ref="I5:I6"/>
    <mergeCell ref="B20:B21"/>
    <mergeCell ref="C20:C21"/>
    <mergeCell ref="D20:E20"/>
    <mergeCell ref="C5:C6"/>
    <mergeCell ref="D5:E5"/>
    <mergeCell ref="I14:I15"/>
    <mergeCell ref="H5:H6"/>
    <mergeCell ref="F5:F6"/>
    <mergeCell ref="H20:H21"/>
    <mergeCell ref="G14:G15"/>
    <mergeCell ref="C30:C31"/>
    <mergeCell ref="B26:C26"/>
    <mergeCell ref="H30:H31"/>
    <mergeCell ref="B5:B6"/>
    <mergeCell ref="B9:C9"/>
    <mergeCell ref="B18:C18"/>
    <mergeCell ref="B14:B15"/>
    <mergeCell ref="C14:C15"/>
    <mergeCell ref="B11:C11"/>
    <mergeCell ref="D14:E14"/>
    <mergeCell ref="B30:B31"/>
    <mergeCell ref="D30:E30"/>
    <mergeCell ref="J48:J49"/>
    <mergeCell ref="J5:J6"/>
    <mergeCell ref="I30:I31"/>
    <mergeCell ref="F30:F31"/>
    <mergeCell ref="J14:J15"/>
    <mergeCell ref="F14:F15"/>
    <mergeCell ref="G5:G6"/>
    <mergeCell ref="J41:J42"/>
    <mergeCell ref="J30:J31"/>
    <mergeCell ref="I41:I42"/>
    <mergeCell ref="J20:J21"/>
    <mergeCell ref="I20:I21"/>
    <mergeCell ref="F20:F21"/>
    <mergeCell ref="G20:G21"/>
    <mergeCell ref="H14:H15"/>
    <mergeCell ref="G30:G31"/>
    <mergeCell ref="C137:I137"/>
    <mergeCell ref="B38:C38"/>
    <mergeCell ref="B52:C52"/>
    <mergeCell ref="G41:G42"/>
    <mergeCell ref="B41:B42"/>
    <mergeCell ref="C41:C42"/>
    <mergeCell ref="F48:F49"/>
    <mergeCell ref="D41:E41"/>
    <mergeCell ref="D48:E48"/>
    <mergeCell ref="H41:H42"/>
    <mergeCell ref="I48:I49"/>
    <mergeCell ref="B48:B49"/>
    <mergeCell ref="C48:C49"/>
    <mergeCell ref="G48:G49"/>
    <mergeCell ref="H48:H49"/>
    <mergeCell ref="F41:F42"/>
    <mergeCell ref="B45:C45"/>
    <mergeCell ref="G57:G58"/>
    <mergeCell ref="H57:H58"/>
    <mergeCell ref="I57:I58"/>
    <mergeCell ref="J57:J58"/>
    <mergeCell ref="B61:C61"/>
    <mergeCell ref="B54:C54"/>
    <mergeCell ref="B57:B58"/>
    <mergeCell ref="C57:C58"/>
    <mergeCell ref="D57:E57"/>
    <mergeCell ref="F57:F58"/>
    <mergeCell ref="H63:H64"/>
    <mergeCell ref="I63:I64"/>
    <mergeCell ref="J63:J64"/>
    <mergeCell ref="B69:C69"/>
    <mergeCell ref="B73:B74"/>
    <mergeCell ref="C73:C74"/>
    <mergeCell ref="D73:E73"/>
    <mergeCell ref="F73:F74"/>
    <mergeCell ref="G73:G74"/>
    <mergeCell ref="H73:H74"/>
    <mergeCell ref="I73:I74"/>
    <mergeCell ref="J73:J74"/>
    <mergeCell ref="B63:B64"/>
    <mergeCell ref="C63:C64"/>
    <mergeCell ref="D63:E63"/>
    <mergeCell ref="F63:F64"/>
    <mergeCell ref="G63:G64"/>
    <mergeCell ref="G81:G82"/>
    <mergeCell ref="H81:H82"/>
    <mergeCell ref="I81:I82"/>
    <mergeCell ref="J81:J82"/>
    <mergeCell ref="B85:C85"/>
    <mergeCell ref="B78:C78"/>
    <mergeCell ref="B81:B82"/>
    <mergeCell ref="C81:C82"/>
    <mergeCell ref="D81:E81"/>
    <mergeCell ref="F81:F82"/>
    <mergeCell ref="H88:H89"/>
    <mergeCell ref="I88:I89"/>
    <mergeCell ref="J88:J89"/>
    <mergeCell ref="B92:C92"/>
    <mergeCell ref="B94:C94"/>
    <mergeCell ref="B88:B89"/>
    <mergeCell ref="C88:C89"/>
    <mergeCell ref="D88:E88"/>
    <mergeCell ref="F88:F89"/>
    <mergeCell ref="G88:G89"/>
    <mergeCell ref="H97:H98"/>
    <mergeCell ref="I97:I98"/>
    <mergeCell ref="J97:J98"/>
    <mergeCell ref="B101:C101"/>
    <mergeCell ref="B103:B104"/>
    <mergeCell ref="C103:C104"/>
    <mergeCell ref="D103:E103"/>
    <mergeCell ref="F103:F104"/>
    <mergeCell ref="G103:G104"/>
    <mergeCell ref="H103:H104"/>
    <mergeCell ref="I103:I104"/>
    <mergeCell ref="J103:J104"/>
    <mergeCell ref="B97:B98"/>
    <mergeCell ref="C97:C98"/>
    <mergeCell ref="D97:E97"/>
    <mergeCell ref="F97:F98"/>
    <mergeCell ref="G97:G98"/>
    <mergeCell ref="G113:G114"/>
    <mergeCell ref="H113:H114"/>
    <mergeCell ref="I113:I114"/>
    <mergeCell ref="J113:J114"/>
    <mergeCell ref="B118:C118"/>
    <mergeCell ref="B109:C109"/>
    <mergeCell ref="B113:B114"/>
    <mergeCell ref="C113:C114"/>
    <mergeCell ref="D113:E113"/>
    <mergeCell ref="F113:F114"/>
    <mergeCell ref="B132:C132"/>
    <mergeCell ref="H121:H122"/>
    <mergeCell ref="I121:I122"/>
    <mergeCell ref="J121:J122"/>
    <mergeCell ref="B125:C125"/>
    <mergeCell ref="B128:B129"/>
    <mergeCell ref="C128:C129"/>
    <mergeCell ref="D128:E128"/>
    <mergeCell ref="F128:F129"/>
    <mergeCell ref="G128:G129"/>
    <mergeCell ref="H128:H129"/>
    <mergeCell ref="I128:I129"/>
    <mergeCell ref="J128:J129"/>
    <mergeCell ref="B121:B122"/>
    <mergeCell ref="C121:C122"/>
    <mergeCell ref="D121:E121"/>
    <mergeCell ref="F121:F122"/>
    <mergeCell ref="G121:G122"/>
  </mergeCells>
  <phoneticPr fontId="23" type="noConversion"/>
  <pageMargins left="0.74803149606299213" right="0.59055118110236227" top="0.98425196850393704" bottom="0.70866141732283472" header="0.51181102362204722" footer="0.51181102362204722"/>
  <pageSetup paperSize="9" scale="84" orientation="landscape" horizontalDpi="4294967293" r:id="rId1"/>
  <headerFooter alignWithMargins="0"/>
  <rowBreaks count="4" manualBreakCount="4">
    <brk id="28" max="10" man="1"/>
    <brk id="46" max="10" man="1"/>
    <brk id="62" max="10" man="1"/>
    <brk id="78" max="10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0"/>
  </sheetPr>
  <dimension ref="A1:AB22"/>
  <sheetViews>
    <sheetView view="pageBreakPreview" zoomScale="85" zoomScaleNormal="55" zoomScaleSheetLayoutView="70" workbookViewId="0">
      <selection activeCell="F5" sqref="F5:F7"/>
    </sheetView>
  </sheetViews>
  <sheetFormatPr defaultRowHeight="15.95" customHeight="1"/>
  <cols>
    <col min="1" max="1" width="4.21875" style="25" customWidth="1"/>
    <col min="2" max="2" width="27.21875" style="25" customWidth="1"/>
    <col min="3" max="3" width="27.77734375" style="25" customWidth="1"/>
    <col min="4" max="5" width="27.21875" style="25" customWidth="1"/>
    <col min="6" max="6" width="26.6640625" style="25" customWidth="1"/>
    <col min="7" max="7" width="10.21875" style="25" bestFit="1" customWidth="1"/>
    <col min="8" max="9" width="5.6640625" style="25" bestFit="1" customWidth="1"/>
    <col min="10" max="10" width="8.21875" style="25" customWidth="1"/>
    <col min="11" max="11" width="8.6640625" style="25" customWidth="1"/>
    <col min="12" max="12" width="6.5546875" style="25" customWidth="1"/>
    <col min="13" max="13" width="6.44140625" style="25" customWidth="1"/>
    <col min="14" max="18" width="5.6640625" style="2" bestFit="1" customWidth="1"/>
    <col min="19" max="19" width="5.77734375" style="2" customWidth="1"/>
    <col min="20" max="20" width="5.6640625" style="2" bestFit="1" customWidth="1"/>
    <col min="21" max="21" width="5.5546875" style="2" customWidth="1"/>
    <col min="22" max="23" width="7.88671875" style="2" customWidth="1"/>
    <col min="24" max="24" width="9.109375" style="2" customWidth="1"/>
    <col min="25" max="25" width="8.33203125" style="2" customWidth="1"/>
    <col min="26" max="26" width="7.88671875" style="19" customWidth="1"/>
    <col min="27" max="27" width="6.33203125" style="2" bestFit="1" customWidth="1"/>
    <col min="28" max="28" width="8.77734375" style="2" customWidth="1"/>
    <col min="29" max="29" width="6.33203125" style="2" bestFit="1" customWidth="1"/>
    <col min="30" max="30" width="8.5546875" style="2" customWidth="1"/>
    <col min="31" max="31" width="7.5546875" style="2" bestFit="1" customWidth="1"/>
    <col min="32" max="32" width="6" style="2" customWidth="1"/>
    <col min="33" max="33" width="9.44140625" style="2" customWidth="1"/>
    <col min="34" max="34" width="4" style="2" customWidth="1"/>
    <col min="35" max="35" width="7.77734375" style="2" customWidth="1"/>
    <col min="36" max="16384" width="8.88671875" style="2"/>
  </cols>
  <sheetData>
    <row r="1" spans="1:28" s="8" customFormat="1" ht="36.75" customHeight="1">
      <c r="A1" s="77" t="s">
        <v>226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Z1" s="20"/>
    </row>
    <row r="2" spans="1:28" s="4" customFormat="1" ht="21" customHeight="1">
      <c r="A2" s="10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Z2" s="18"/>
    </row>
    <row r="3" spans="1:28" s="4" customFormat="1" ht="43.5" customHeight="1">
      <c r="A3" s="26"/>
      <c r="B3" s="1065" t="s">
        <v>80</v>
      </c>
      <c r="C3" s="1150" t="s">
        <v>101</v>
      </c>
      <c r="D3" s="1200" t="s">
        <v>374</v>
      </c>
      <c r="E3" s="1200" t="s">
        <v>810</v>
      </c>
      <c r="F3" s="1200" t="s">
        <v>375</v>
      </c>
      <c r="G3" s="26"/>
      <c r="H3" s="26"/>
    </row>
    <row r="4" spans="1:28" s="4" customFormat="1" ht="43.5" customHeight="1">
      <c r="A4" s="26"/>
      <c r="B4" s="1065"/>
      <c r="C4" s="1150"/>
      <c r="D4" s="1201"/>
      <c r="E4" s="1200"/>
      <c r="F4" s="1201"/>
      <c r="G4" s="26"/>
      <c r="H4" s="26"/>
    </row>
    <row r="5" spans="1:28" s="4" customFormat="1" ht="87" customHeight="1">
      <c r="A5" s="26"/>
      <c r="B5" s="756" t="str">
        <f>업무중복도!B6</f>
        <v>oo엔지니어링</v>
      </c>
      <c r="C5" s="711">
        <f>참여업체!C7</f>
        <v>0.42</v>
      </c>
      <c r="D5" s="846">
        <v>0</v>
      </c>
      <c r="E5" s="846">
        <v>0.3</v>
      </c>
      <c r="F5" s="1199">
        <f>ROUND((D5*C5+C6*D6+C7*D7)+(E5*C5+E6*C6+C7*E7),2)</f>
        <v>0.3</v>
      </c>
      <c r="G5" s="26"/>
      <c r="H5" s="26"/>
      <c r="AB5" s="1"/>
    </row>
    <row r="6" spans="1:28" s="4" customFormat="1" ht="87" customHeight="1">
      <c r="A6" s="26"/>
      <c r="B6" s="756" t="str">
        <f>업무중복도!B7</f>
        <v>＊＊엔지니어링</v>
      </c>
      <c r="C6" s="711">
        <f>참여업체!D7</f>
        <v>0.33</v>
      </c>
      <c r="D6" s="846">
        <v>0</v>
      </c>
      <c r="E6" s="846">
        <v>0.3</v>
      </c>
      <c r="F6" s="1199"/>
      <c r="G6" s="26"/>
      <c r="H6" s="26"/>
      <c r="AB6" s="1"/>
    </row>
    <row r="7" spans="1:28" s="4" customFormat="1" ht="87" customHeight="1">
      <c r="A7" s="26"/>
      <c r="B7" s="756" t="str">
        <f>업무중복도!B8</f>
        <v>☆☆엔지니어링</v>
      </c>
      <c r="C7" s="711">
        <f>참여업체!E7</f>
        <v>0.25</v>
      </c>
      <c r="D7" s="846">
        <v>0</v>
      </c>
      <c r="E7" s="846">
        <v>0.3</v>
      </c>
      <c r="F7" s="1199"/>
      <c r="G7" s="26"/>
      <c r="H7" s="26"/>
      <c r="AB7" s="1"/>
    </row>
    <row r="8" spans="1:28" ht="46.5" customHeight="1">
      <c r="B8" s="311"/>
      <c r="H8" s="110"/>
      <c r="I8" s="110"/>
      <c r="J8" s="26"/>
      <c r="K8" s="26"/>
      <c r="L8" s="26"/>
      <c r="M8" s="26"/>
      <c r="N8" s="4"/>
      <c r="O8" s="4"/>
      <c r="P8" s="4"/>
      <c r="Q8" s="4"/>
      <c r="R8" s="4"/>
      <c r="S8" s="4"/>
      <c r="T8" s="4"/>
      <c r="U8" s="4"/>
    </row>
    <row r="9" spans="1:28" ht="18.75" customHeight="1"/>
    <row r="22" spans="17:17" ht="15.95" customHeight="1">
      <c r="Q22" s="548" t="e">
        <f>기술투자!#REF!</f>
        <v>#REF!</v>
      </c>
    </row>
  </sheetData>
  <mergeCells count="6">
    <mergeCell ref="F5:F7"/>
    <mergeCell ref="B3:B4"/>
    <mergeCell ref="D3:D4"/>
    <mergeCell ref="C3:C4"/>
    <mergeCell ref="F3:F4"/>
    <mergeCell ref="E3:E4"/>
  </mergeCells>
  <phoneticPr fontId="2" type="noConversion"/>
  <pageMargins left="0.71" right="0.74803149606299213" top="1.1499999999999999" bottom="0.78740157480314965" header="0.51181102362204722" footer="0.51181102362204722"/>
  <pageSetup paperSize="9" scale="80" orientation="landscape" horizontalDpi="4294967293" r:id="rId1"/>
  <headerFooter alignWithMargins="0"/>
  <colBreaks count="1" manualBreakCount="1">
    <brk id="33" max="62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5" sqref="T45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0"/>
    <pageSetUpPr fitToPage="1"/>
  </sheetPr>
  <dimension ref="A1:P37"/>
  <sheetViews>
    <sheetView view="pageBreakPreview" zoomScale="85" zoomScaleSheetLayoutView="55" workbookViewId="0">
      <selection activeCell="F34" sqref="F34"/>
    </sheetView>
  </sheetViews>
  <sheetFormatPr defaultRowHeight="17.100000000000001" customHeight="1"/>
  <cols>
    <col min="1" max="1" width="1.6640625" style="76" customWidth="1"/>
    <col min="2" max="2" width="2.21875" style="76" customWidth="1"/>
    <col min="3" max="3" width="19.77734375" style="76" customWidth="1"/>
    <col min="4" max="4" width="15.77734375" style="76" customWidth="1"/>
    <col min="5" max="5" width="9.33203125" style="76" customWidth="1"/>
    <col min="6" max="7" width="9.5546875" style="76" bestFit="1" customWidth="1"/>
    <col min="8" max="10" width="9.21875" style="76" customWidth="1"/>
    <col min="11" max="11" width="8.88671875" style="76" bestFit="1"/>
    <col min="12" max="12" width="5.88671875" style="3" customWidth="1"/>
    <col min="13" max="13" width="5.6640625" style="3" customWidth="1"/>
    <col min="14" max="14" width="10.77734375" style="3" customWidth="1"/>
    <col min="15" max="15" width="9.6640625" style="3" customWidth="1"/>
    <col min="16" max="16" width="9.77734375" style="3" customWidth="1"/>
    <col min="17" max="17" width="3.6640625" style="3" bestFit="1" customWidth="1"/>
    <col min="18" max="22" width="3.21875" style="3" bestFit="1" customWidth="1"/>
    <col min="23" max="26" width="3.33203125" style="3" bestFit="1" customWidth="1"/>
    <col min="27" max="46" width="4.44140625" style="3" bestFit="1" customWidth="1"/>
    <col min="47" max="47" width="4.33203125" style="3" bestFit="1" customWidth="1"/>
    <col min="48" max="16384" width="8.88671875" style="3"/>
  </cols>
  <sheetData>
    <row r="1" spans="1:12" s="8" customFormat="1" ht="24" customHeight="1">
      <c r="A1" s="77" t="s">
        <v>203</v>
      </c>
      <c r="B1" s="77"/>
      <c r="C1" s="78"/>
      <c r="D1" s="78"/>
      <c r="E1" s="78"/>
      <c r="F1" s="78"/>
      <c r="G1" s="78"/>
      <c r="H1" s="78"/>
      <c r="I1" s="78"/>
      <c r="J1" s="78"/>
      <c r="K1" s="78"/>
    </row>
    <row r="2" spans="1:12" s="9" customFormat="1" ht="24" customHeight="1">
      <c r="A2" s="79"/>
      <c r="B2" s="112" t="s">
        <v>499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1:12" ht="3" customHeight="1">
      <c r="A3" s="73"/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7.25" customHeight="1">
      <c r="A4" s="73"/>
      <c r="B4" s="113"/>
      <c r="C4" s="454" t="s">
        <v>327</v>
      </c>
      <c r="D4" s="454" t="s">
        <v>328</v>
      </c>
      <c r="E4" s="454" t="s">
        <v>329</v>
      </c>
      <c r="F4" s="447" t="s">
        <v>330</v>
      </c>
      <c r="G4" s="454" t="s">
        <v>331</v>
      </c>
      <c r="H4" s="73"/>
      <c r="I4" s="73"/>
      <c r="J4" s="73"/>
      <c r="K4" s="73"/>
    </row>
    <row r="5" spans="1:12" ht="17.25" customHeight="1">
      <c r="A5" s="73"/>
      <c r="B5" s="113"/>
      <c r="C5" s="901" t="s">
        <v>332</v>
      </c>
      <c r="D5" s="455" t="s">
        <v>329</v>
      </c>
      <c r="E5" s="456" t="s">
        <v>333</v>
      </c>
      <c r="F5" s="457">
        <v>1</v>
      </c>
      <c r="G5" s="458">
        <f>IF(E5=배점기준!E11,배점기준!$E$12,IF(E5=배점기준!F11,배점기준!$F$12,IF(E5=배점기준!G11,배점기준!$G$12,0)))*F5</f>
        <v>3</v>
      </c>
      <c r="H5" s="73"/>
      <c r="I5" s="73"/>
      <c r="J5" s="73"/>
      <c r="K5" s="73"/>
    </row>
    <row r="6" spans="1:12" ht="17.25" customHeight="1">
      <c r="A6" s="73"/>
      <c r="B6" s="113"/>
      <c r="C6" s="902"/>
      <c r="D6" s="459" t="s">
        <v>334</v>
      </c>
      <c r="E6" s="460">
        <v>0</v>
      </c>
      <c r="F6" s="461"/>
      <c r="G6" s="458">
        <f>E6</f>
        <v>0</v>
      </c>
      <c r="H6" s="73"/>
      <c r="I6" s="73"/>
      <c r="J6" s="73"/>
      <c r="K6" s="73"/>
    </row>
    <row r="7" spans="1:12" ht="17.25" customHeight="1">
      <c r="A7" s="73"/>
      <c r="B7" s="113"/>
      <c r="C7" s="903"/>
      <c r="D7" s="462" t="s">
        <v>335</v>
      </c>
      <c r="E7" s="463">
        <v>0</v>
      </c>
      <c r="F7" s="461"/>
      <c r="G7" s="464">
        <f>E7</f>
        <v>0</v>
      </c>
      <c r="H7" s="73"/>
      <c r="I7" s="73"/>
      <c r="J7" s="73"/>
      <c r="K7" s="73"/>
    </row>
    <row r="8" spans="1:12" ht="17.25" customHeight="1">
      <c r="A8" s="73"/>
      <c r="B8" s="113"/>
      <c r="C8" s="911" t="s">
        <v>336</v>
      </c>
      <c r="D8" s="443" t="s">
        <v>328</v>
      </c>
      <c r="E8" s="562" t="str">
        <f>배점기준!D19</f>
        <v>도시계획</v>
      </c>
      <c r="F8" s="572" t="str">
        <f>배점기준!D20</f>
        <v>토질지질</v>
      </c>
      <c r="G8" s="572" t="str">
        <f>배점기준!D21</f>
        <v>도로공항</v>
      </c>
      <c r="H8" s="572" t="str">
        <f>배점기준!D22</f>
        <v>토목구조</v>
      </c>
      <c r="I8" s="572" t="str">
        <f>배점기준!D23</f>
        <v>상하수도</v>
      </c>
      <c r="J8" s="572" t="str">
        <f>배점기준!D24</f>
        <v>조경</v>
      </c>
      <c r="K8" s="454" t="s">
        <v>331</v>
      </c>
    </row>
    <row r="9" spans="1:12" ht="17.25" customHeight="1">
      <c r="A9" s="73"/>
      <c r="B9" s="113"/>
      <c r="C9" s="904"/>
      <c r="D9" s="465" t="s">
        <v>330</v>
      </c>
      <c r="E9" s="466">
        <v>1</v>
      </c>
      <c r="F9" s="467">
        <v>1</v>
      </c>
      <c r="G9" s="467">
        <v>1</v>
      </c>
      <c r="H9" s="467">
        <v>1</v>
      </c>
      <c r="I9" s="467">
        <v>1</v>
      </c>
      <c r="J9" s="777">
        <v>1</v>
      </c>
      <c r="K9" s="908">
        <f>SUM(E11:J11)</f>
        <v>4</v>
      </c>
    </row>
    <row r="10" spans="1:12" ht="17.25" customHeight="1">
      <c r="A10" s="73"/>
      <c r="B10" s="113"/>
      <c r="C10" s="904"/>
      <c r="D10" s="455" t="s">
        <v>329</v>
      </c>
      <c r="E10" s="468" t="s">
        <v>560</v>
      </c>
      <c r="F10" s="469" t="s">
        <v>559</v>
      </c>
      <c r="G10" s="469" t="s">
        <v>623</v>
      </c>
      <c r="H10" s="469" t="s">
        <v>558</v>
      </c>
      <c r="I10" s="469" t="s">
        <v>559</v>
      </c>
      <c r="J10" s="778" t="s">
        <v>710</v>
      </c>
      <c r="K10" s="908"/>
    </row>
    <row r="11" spans="1:12" ht="17.25" customHeight="1">
      <c r="A11" s="73"/>
      <c r="B11" s="113"/>
      <c r="C11" s="905"/>
      <c r="D11" s="470" t="s">
        <v>337</v>
      </c>
      <c r="E11" s="471">
        <f>IF(E10="특급",배점기준!$E$19,IF(E10="고급",배점기준!$F$19,IF(E10="중급",배점기준!$G$19,0)))*E9</f>
        <v>1.2</v>
      </c>
      <c r="F11" s="471">
        <f>IF(F10="특급",배점기준!$E$20,IF(F10="고급",배점기준!$F$20,IF(F10="중급",배점기준!$G$20,0)))*F9</f>
        <v>0.4</v>
      </c>
      <c r="G11" s="471">
        <f>IF(G10="특급",배점기준!$E$21,IF(G10="고급",배점기준!$F$21,IF(G10="중급",배점기준!$G$21,0)))*G9</f>
        <v>1</v>
      </c>
      <c r="H11" s="471">
        <f>IF(H10="특급",배점기준!$E$22,IF(H10="고급",배점기준!$F$22,IF(H10="중급",배점기준!$G$22,0)))*H9</f>
        <v>0.4</v>
      </c>
      <c r="I11" s="471">
        <f>IF(I10="특급",배점기준!$E$23,IF(I10="고급",배점기준!$F$23,IF(I10="중급",배점기준!$G$23,0)))*I9</f>
        <v>0.6</v>
      </c>
      <c r="J11" s="471">
        <f>IF(J10="특급",배점기준!$E$24,IF(J10="고급",배점기준!$F$24,IF(J10="중급",배점기준!$G$24,0)))*J9</f>
        <v>0.4</v>
      </c>
      <c r="K11" s="909"/>
    </row>
    <row r="12" spans="1:12" ht="17.25" customHeight="1">
      <c r="A12" s="73"/>
      <c r="B12" s="113"/>
      <c r="C12" s="901" t="s">
        <v>338</v>
      </c>
      <c r="D12" s="472" t="s">
        <v>330</v>
      </c>
      <c r="E12" s="473">
        <v>1</v>
      </c>
      <c r="F12" s="474">
        <v>1</v>
      </c>
      <c r="G12" s="474">
        <v>1</v>
      </c>
      <c r="H12" s="474">
        <v>1</v>
      </c>
      <c r="I12" s="474">
        <v>1</v>
      </c>
      <c r="J12" s="474">
        <v>1</v>
      </c>
      <c r="K12" s="910">
        <f>SUM(E14:J14)</f>
        <v>4</v>
      </c>
    </row>
    <row r="13" spans="1:12" ht="17.25" customHeight="1">
      <c r="B13" s="114"/>
      <c r="C13" s="902"/>
      <c r="D13" s="455" t="s">
        <v>329</v>
      </c>
      <c r="E13" s="468" t="s">
        <v>624</v>
      </c>
      <c r="F13" s="469" t="s">
        <v>624</v>
      </c>
      <c r="G13" s="469" t="s">
        <v>559</v>
      </c>
      <c r="H13" s="469" t="s">
        <v>624</v>
      </c>
      <c r="I13" s="469" t="s">
        <v>559</v>
      </c>
      <c r="J13" s="469" t="s">
        <v>333</v>
      </c>
      <c r="K13" s="908"/>
      <c r="L13" s="9"/>
    </row>
    <row r="14" spans="1:12" ht="17.25" customHeight="1">
      <c r="B14" s="113"/>
      <c r="C14" s="903"/>
      <c r="D14" s="475" t="s">
        <v>337</v>
      </c>
      <c r="E14" s="476">
        <f>IF(E13="특급",배점기준!$E$27,IF(E13="고급",배점기준!$F$27,IF(E13="중급",배점기준!$G$27,0)))*E12</f>
        <v>1.2</v>
      </c>
      <c r="F14" s="477">
        <f>IF(F13="특급",배점기준!$E$28,IF(F13="고급",배점기준!$F$28,IF(F13="중급",배점기준!$G$28,0)))*F12</f>
        <v>0.4</v>
      </c>
      <c r="G14" s="477">
        <f>IF(G13="특급",배점기준!$E$29,IF(G13="고급",배점기준!$F$29,IF(G13="중급",배점기준!$G$29,0)))*G12</f>
        <v>1</v>
      </c>
      <c r="H14" s="477">
        <f>IF(H13="특급",배점기준!$E$30,IF(H13="고급",배점기준!$F$30,IF(H13="중급",배점기준!$G$30,0)))*H12</f>
        <v>0.4</v>
      </c>
      <c r="I14" s="477">
        <f>IF(I13="특급",배점기준!$E$31,IF(I13="고급",배점기준!$F$31,IF(I13="중급",배점기준!$G$31,0)))*I12</f>
        <v>0.6</v>
      </c>
      <c r="J14" s="477">
        <f>IF(J13="특급",배점기준!$E$32,IF(J13="고급",배점기준!$F$32,IF(J13="중급",배점기준!$G$32,0)))*J12</f>
        <v>0.4</v>
      </c>
      <c r="K14" s="909"/>
    </row>
    <row r="15" spans="1:12" ht="16.5" customHeight="1">
      <c r="B15" s="115"/>
      <c r="C15" s="6"/>
      <c r="D15" s="73"/>
      <c r="E15" s="73"/>
      <c r="F15" s="73"/>
      <c r="G15" s="73"/>
      <c r="H15" s="73"/>
      <c r="I15" s="73"/>
      <c r="J15" s="73"/>
      <c r="K15" s="73"/>
      <c r="L15" s="7"/>
    </row>
    <row r="16" spans="1:12" ht="16.5" customHeight="1">
      <c r="B16" s="112" t="s">
        <v>500</v>
      </c>
      <c r="C16" s="73"/>
      <c r="D16" s="73"/>
      <c r="E16" s="73"/>
      <c r="F16" s="73"/>
      <c r="G16" s="73"/>
      <c r="H16" s="73"/>
      <c r="I16" s="73"/>
      <c r="J16" s="73"/>
      <c r="K16" s="6"/>
    </row>
    <row r="17" spans="2:16" ht="5.25" customHeight="1">
      <c r="B17" s="113"/>
      <c r="C17" s="106"/>
      <c r="D17" s="73"/>
      <c r="E17" s="73"/>
      <c r="F17" s="73"/>
      <c r="G17" s="73"/>
      <c r="H17" s="73"/>
      <c r="I17" s="73"/>
      <c r="J17" s="73"/>
      <c r="K17" s="73"/>
    </row>
    <row r="18" spans="2:16" ht="17.25" customHeight="1">
      <c r="B18" s="113"/>
      <c r="C18" s="454" t="s">
        <v>327</v>
      </c>
      <c r="D18" s="454" t="s">
        <v>328</v>
      </c>
      <c r="E18" s="454" t="s">
        <v>339</v>
      </c>
      <c r="F18" s="478" t="s">
        <v>331</v>
      </c>
      <c r="G18" s="73"/>
      <c r="H18" s="73"/>
      <c r="I18" s="73"/>
      <c r="J18" s="73"/>
      <c r="K18" s="73"/>
    </row>
    <row r="19" spans="2:16" ht="16.5" customHeight="1">
      <c r="B19" s="113"/>
      <c r="C19" s="901" t="s">
        <v>332</v>
      </c>
      <c r="D19" s="472" t="s">
        <v>340</v>
      </c>
      <c r="E19" s="479">
        <f>사업책임기술자경력!H14</f>
        <v>1.0027397260273974</v>
      </c>
      <c r="F19" s="486">
        <f>IF(E19&gt;=배점기준!$E$33,배점기준!$E$34,IF(E19&gt;=배점기준!$F$33,배점기준!$F$34,IF(E19&gt;=배점기준!$G$33,배점기준!$G$34,IF(E19&gt;=배점기준!$H$33,배점기준!$H$34,IF(E19&lt;배점기준!$I$33,배점기준!$I$34)))))*F5</f>
        <v>2.4</v>
      </c>
      <c r="G19" s="73"/>
      <c r="H19" s="73"/>
      <c r="I19" s="73"/>
      <c r="J19" s="73"/>
      <c r="K19" s="73"/>
    </row>
    <row r="20" spans="2:16" ht="16.5" customHeight="1">
      <c r="B20" s="113"/>
      <c r="C20" s="903"/>
      <c r="D20" s="470" t="s">
        <v>341</v>
      </c>
      <c r="E20" s="606">
        <f>'사업책임기술자(000)'!R35</f>
        <v>0.5</v>
      </c>
      <c r="F20" s="607">
        <f>IF(E20&gt;=배점기준!$E$35,배점기준!$E$36,IF(E20&gt;=배점기준!$F$35,배점기준!$F$36,IF(E20&gt;=배점기준!$G$35,배점기준!$G$36,IF(E20&gt;=배점기준!$H$35,배점기준!$H$36,IF(E20&lt;배점기준!$I$35,배점기준!$I$36)))))*F5</f>
        <v>4.8</v>
      </c>
      <c r="G20" s="73"/>
      <c r="H20" s="73"/>
      <c r="I20" s="73"/>
      <c r="J20" s="73"/>
      <c r="K20" s="73"/>
    </row>
    <row r="21" spans="2:16" ht="16.5" customHeight="1">
      <c r="B21" s="113"/>
      <c r="C21" s="904" t="s">
        <v>336</v>
      </c>
      <c r="D21" s="443" t="s">
        <v>328</v>
      </c>
      <c r="E21" s="562" t="str">
        <f t="shared" ref="E21:J21" si="0">E8</f>
        <v>도시계획</v>
      </c>
      <c r="F21" s="562" t="str">
        <f t="shared" si="0"/>
        <v>토질지질</v>
      </c>
      <c r="G21" s="562" t="str">
        <f t="shared" si="0"/>
        <v>도로공항</v>
      </c>
      <c r="H21" s="562" t="str">
        <f t="shared" si="0"/>
        <v>토목구조</v>
      </c>
      <c r="I21" s="562" t="str">
        <f t="shared" si="0"/>
        <v>상하수도</v>
      </c>
      <c r="J21" s="773" t="str">
        <f t="shared" si="0"/>
        <v>조경</v>
      </c>
      <c r="K21" s="454" t="s">
        <v>331</v>
      </c>
    </row>
    <row r="22" spans="2:16" ht="16.5" customHeight="1">
      <c r="B22" s="113"/>
      <c r="C22" s="904"/>
      <c r="D22" s="472" t="s">
        <v>340</v>
      </c>
      <c r="E22" s="473">
        <v>17.12</v>
      </c>
      <c r="F22" s="474">
        <v>16.489999999999998</v>
      </c>
      <c r="G22" s="474">
        <v>31.46</v>
      </c>
      <c r="H22" s="474">
        <v>21.18</v>
      </c>
      <c r="I22" s="474">
        <v>16.46</v>
      </c>
      <c r="J22" s="774">
        <v>19.559999999999999</v>
      </c>
      <c r="K22" s="906">
        <f>SUM(E23:J23)</f>
        <v>7.0000000000000009</v>
      </c>
      <c r="N22" s="113"/>
      <c r="O22" s="113"/>
    </row>
    <row r="23" spans="2:16" ht="16.5" customHeight="1">
      <c r="B23" s="113"/>
      <c r="C23" s="904"/>
      <c r="D23" s="470" t="s">
        <v>337</v>
      </c>
      <c r="E23" s="480">
        <f>IF(E22&gt;=배점기준!$E$39,배점기준!$E$41,IF(E22&gt;=배점기준!$F$39,배점기준!$F$41,IF(E22&gt;=배점기준!$G$39,배점기준!$G$41,IF(E22&gt;=배점기준!$H$39,배점기준!$H$41,IF(E22&lt;배점기준!$I$39,배점기준!$I$41)))))*E9</f>
        <v>2.1</v>
      </c>
      <c r="F23" s="481">
        <f>IF(F22&gt;=배점기준!$E$39,배점기준!$E$42,IF(F22&gt;=배점기준!$F$39,배점기준!$F$42,IF(F22&gt;=배점기준!$G$39,배점기준!$G$42,IF(F22&gt;=배점기준!$H$39,배점기준!$H$42,IF(F22&lt;배점기준!$I$39,배점기준!$I$42)))))*F9</f>
        <v>0.70000000000000007</v>
      </c>
      <c r="G23" s="481">
        <f>IF(G22&gt;=배점기준!$E$39,배점기준!$E$43,IF(G22&gt;=배점기준!$F$39,배점기준!$F$43,IF(G22&gt;=배점기준!$G$39,배점기준!$G$43,IF(G22&gt;=배점기준!$H$39,배점기준!$H$43,IF(G22&lt;배점기준!$I$39,배점기준!$I$43)))))*G9</f>
        <v>1.75</v>
      </c>
      <c r="H23" s="481">
        <f>IF(H22&gt;=배점기준!$E$39,배점기준!$E$44,IF(H22&gt;=배점기준!$F$39,배점기준!$F$44,IF(H22&gt;=배점기준!$G$39,배점기준!$G$44,IF(H22&gt;=배점기준!$H$39,배점기준!$H$44,IF(H22&lt;배점기준!$I$39,배점기준!$I$44)))))*H9</f>
        <v>0.70000000000000007</v>
      </c>
      <c r="I23" s="481">
        <f>IF(I22&gt;=배점기준!$E$39,배점기준!$E$45,IF(I22&gt;=배점기준!$F$39,배점기준!$F$45,IF(I22&gt;=배점기준!$G$39,배점기준!$G$45,IF(I22&gt;=배점기준!$H$39,배점기준!$H$45,IF(I22&lt;배점기준!$I$39,배점기준!$I$45)))))*I9</f>
        <v>1.05</v>
      </c>
      <c r="J23" s="481">
        <f>IF(J22&gt;=배점기준!$E$39,배점기준!$E$46,IF(J22&gt;=배점기준!$F$39,배점기준!$F$46,IF(J22&gt;=배점기준!$G$39,배점기준!$G$46,IF(J22&gt;=배점기준!$H$39,배점기준!$H$46,IF(J22&lt;배점기준!$I$39,배점기준!$I$46)))))*J9</f>
        <v>0.70000000000000007</v>
      </c>
      <c r="K23" s="907"/>
      <c r="P23" s="552"/>
    </row>
    <row r="24" spans="2:16" ht="16.5" customHeight="1">
      <c r="B24" s="113"/>
      <c r="C24" s="904"/>
      <c r="D24" s="472" t="s">
        <v>341</v>
      </c>
      <c r="E24" s="473">
        <f>'도시계획책임(000)'!R9</f>
        <v>6</v>
      </c>
      <c r="F24" s="473">
        <f>'토질지질책임(000)'!R9</f>
        <v>6</v>
      </c>
      <c r="G24" s="473">
        <f>'도로공항책임(000)'!R8</f>
        <v>1.5</v>
      </c>
      <c r="H24" s="473">
        <f>'토목구조책임(000)'!R8</f>
        <v>6</v>
      </c>
      <c r="I24" s="473">
        <f>'상하수도분책(000)'!R8</f>
        <v>6</v>
      </c>
      <c r="J24" s="774"/>
      <c r="K24" s="906">
        <f>SUM(E25:J25)</f>
        <v>6.4</v>
      </c>
    </row>
    <row r="25" spans="2:16" ht="16.5" customHeight="1">
      <c r="B25" s="114"/>
      <c r="C25" s="905"/>
      <c r="D25" s="470" t="s">
        <v>337</v>
      </c>
      <c r="E25" s="480">
        <f>IF(E24&gt;=배점기준!$E$47,배점기준!$E$49,IF(E24&gt;=배점기준!$F$47,배점기준!$F$49,IF(E24&gt;=배점기준!$G$47,배점기준!$G$49,IF(E24&gt;=배점기준!$H$47,배점기준!$H$49,IF(E24&lt;배점기준!$I$47,배점기준!$I$49)))))*E9</f>
        <v>2.4</v>
      </c>
      <c r="F25" s="481">
        <f>IF(F24&gt;=배점기준!$E$47,배점기준!$E$50,IF(F24&gt;=배점기준!$F$47,배점기준!$F$50,IF(F24&gt;=배점기준!$G$47,배점기준!$G$50,IF(F24&gt;=배점기준!$H$47,배점기준!$H$50,IF(F24&lt;배점기준!$I$47,배점기준!$I$50)))))*F9</f>
        <v>0.8</v>
      </c>
      <c r="G25" s="481">
        <f>IF(G24&gt;=배점기준!$E$47,배점기준!$E$51,IF(G24&gt;=배점기준!$F$47,배점기준!$F$51,IF(G24&gt;=배점기준!$G$47,배점기준!$G$51,IF(G24&gt;=배점기준!$H$47,배점기준!$H$51,IF(G24&lt;배점기준!$I$47,배점기준!$I$51)))))*G9</f>
        <v>1.2</v>
      </c>
      <c r="H25" s="481">
        <f>IF(H24&gt;=배점기준!$E$47,배점기준!$E$52,IF(H24&gt;=배점기준!$F$47,배점기준!$F$52,IF(H24&gt;=배점기준!$G$47,배점기준!$G$52,IF(H24&gt;=배점기준!$H$47,배점기준!$H$52,IF(H24&lt;배점기준!$I$47,배점기준!$I$52)))))*H9</f>
        <v>0.8</v>
      </c>
      <c r="I25" s="481">
        <f>IF(I24&gt;=배점기준!$E$47,배점기준!$E$53,IF(I24&gt;=배점기준!$F$47,배점기준!$F$53,IF(I24&gt;=배점기준!$G$47,배점기준!$G$53,IF(I24&gt;=배점기준!$H$47,배점기준!$H$53,IF(I24&lt;배점기준!$I$47,배점기준!$I$53)))))*I9</f>
        <v>1.2</v>
      </c>
      <c r="J25" s="775"/>
      <c r="K25" s="907"/>
      <c r="L25" s="9"/>
    </row>
    <row r="26" spans="2:16" ht="16.5" customHeight="1">
      <c r="B26" s="115"/>
      <c r="C26" s="901" t="s">
        <v>338</v>
      </c>
      <c r="D26" s="472" t="s">
        <v>340</v>
      </c>
      <c r="E26" s="473">
        <v>27.77</v>
      </c>
      <c r="F26" s="474">
        <v>28.6</v>
      </c>
      <c r="G26" s="474">
        <v>19.309999999999999</v>
      </c>
      <c r="H26" s="622">
        <v>26.9</v>
      </c>
      <c r="I26" s="474">
        <v>16.100000000000001</v>
      </c>
      <c r="J26" s="774"/>
      <c r="K26" s="910">
        <f>SUM(E27:J27)</f>
        <v>4.5</v>
      </c>
      <c r="L26" s="7"/>
    </row>
    <row r="27" spans="2:16" ht="16.5" customHeight="1">
      <c r="B27" s="115"/>
      <c r="C27" s="902"/>
      <c r="D27" s="482" t="s">
        <v>337</v>
      </c>
      <c r="E27" s="483">
        <f>IF(E26&gt;=배점기준!$E$55,배점기준!$E$57,IF(E26&gt;=배점기준!$F$55,배점기준!$F$57,IF(E26&gt;=배점기준!$G$55,배점기준!$G$57,IF(E26&gt;=배점기준!$H$55,배점기준!$H$57,배점기준!$I$57))))*E12</f>
        <v>1.5</v>
      </c>
      <c r="F27" s="484">
        <f>IF(F26&gt;=배점기준!$E$55,배점기준!$E$58,IF(F26&gt;=배점기준!$F$55,배점기준!$F$58,IF(F26&gt;=배점기준!$G$55,배점기준!$G$58,IF(F26&gt;=배점기준!$H$55,배점기준!$H$58,배점기준!$I$58))))*F12</f>
        <v>0.5</v>
      </c>
      <c r="G27" s="484">
        <f>IF(G26&gt;=배점기준!$E$55,배점기준!$E$59,IF(G26&gt;=배점기준!$F$55,배점기준!$F$59,IF(G26&gt;=배점기준!$G$55,배점기준!$G$59,IF(G26&gt;=배점기준!$H$55,배점기준!$H$59,배점기준!$I$59))))*G12</f>
        <v>1.25</v>
      </c>
      <c r="H27" s="484">
        <f>IF(H26&gt;=배점기준!$E$55,배점기준!$E$60,IF(H26&gt;=배점기준!$F$55,배점기준!$F$60,IF(H26&gt;=배점기준!$G$55,배점기준!$G$60,IF(H26&gt;=배점기준!$H$55,배점기준!$H$60,배점기준!$I$60))))*H12</f>
        <v>0.5</v>
      </c>
      <c r="I27" s="484">
        <f>IF(I26&gt;=배점기준!$E$55,배점기준!$E$61,IF(I26&gt;=배점기준!$F$55,배점기준!$F$61,IF(I26&gt;=배점기준!$G$55,배점기준!$G$61,IF(I26&gt;=배점기준!$H$55,배점기준!$H$61,배점기준!$I$61))))*I12</f>
        <v>0.75</v>
      </c>
      <c r="J27" s="776"/>
      <c r="K27" s="909"/>
      <c r="L27" s="7"/>
    </row>
    <row r="28" spans="2:16" ht="16.5" customHeight="1">
      <c r="B28" s="113"/>
      <c r="C28" s="902"/>
      <c r="D28" s="472" t="s">
        <v>341</v>
      </c>
      <c r="E28" s="473">
        <f>'도시계획참여(000)'!R8</f>
        <v>6</v>
      </c>
      <c r="F28" s="473">
        <f>'토질지질참여(000)'!R8</f>
        <v>6</v>
      </c>
      <c r="G28" s="473">
        <f>'도로공항참여(000)'!R8</f>
        <v>6</v>
      </c>
      <c r="H28" s="473">
        <f>'토목구조참여(000)'!R8</f>
        <v>6</v>
      </c>
      <c r="I28" s="473">
        <f>'상하수도참여(000)'!R8</f>
        <v>6</v>
      </c>
      <c r="J28" s="774"/>
      <c r="K28" s="910">
        <f>SUM(E29:J29)</f>
        <v>4.5</v>
      </c>
    </row>
    <row r="29" spans="2:16" ht="16.5" customHeight="1">
      <c r="B29" s="113"/>
      <c r="C29" s="903"/>
      <c r="D29" s="470" t="s">
        <v>337</v>
      </c>
      <c r="E29" s="480">
        <f>IF(E28&gt;=배점기준!$E$63,배점기준!$E$65,IF(E28&gt;=배점기준!$F$63,배점기준!$F$65,IF(E28&gt;=배점기준!$G$63,배점기준!$G$65,IF(E28&gt;=배점기준!$H$63,배점기준!$H$65,IF(E28&lt;배점기준!$I$63,배점기준!$I$65)))))*E12</f>
        <v>1.5</v>
      </c>
      <c r="F29" s="481">
        <f>IF(F28&gt;=배점기준!$E$63,배점기준!$E$66,IF(F28&gt;=배점기준!$F$63,배점기준!$F$66,IF(F28&gt;=배점기준!$G$63,배점기준!$G$66,IF(F28&gt;=배점기준!$H$63,배점기준!$H$66,IF(F28&lt;배점기준!$I$63,배점기준!$I$66)))))*F12</f>
        <v>0.5</v>
      </c>
      <c r="G29" s="481">
        <f>IF(G28&gt;=배점기준!$E$63,배점기준!$E$67,IF(G28&gt;=배점기준!$F$63,배점기준!$F$67,IF(G28&gt;=배점기준!$G$63,배점기준!$G$67,IF(G28&gt;=배점기준!$H$63,배점기준!$H$67,IF(G28&lt;배점기준!$I$63,배점기준!$I$67)))))*G12</f>
        <v>1.25</v>
      </c>
      <c r="H29" s="481">
        <f>IF(H28&gt;=배점기준!$E$63,배점기준!$E$68,IF(H28&gt;=배점기준!$F$63,배점기준!$F$68,IF(H28&gt;=배점기준!$G$63,배점기준!$G$68,IF(H28&gt;=배점기준!$H$63,배점기준!$H$68,IF(H28&lt;배점기준!$I$63,배점기준!$I$68)))))*H12</f>
        <v>0.5</v>
      </c>
      <c r="I29" s="481">
        <f>IF(I28&gt;=배점기준!$E$63,배점기준!$E$69,IF(I28&gt;=배점기준!$F$63,배점기준!$F$69,IF(I28&gt;=배점기준!$G$63,배점기준!$G$69,IF(I28&gt;=배점기준!$H$63,배점기준!$H$69,IF(I28&lt;배점기준!$I$63,배점기준!$I$69)))))*I12</f>
        <v>0.75</v>
      </c>
      <c r="J29" s="775"/>
      <c r="K29" s="909"/>
    </row>
    <row r="30" spans="2:16" ht="16.5" customHeight="1">
      <c r="B30" s="113"/>
      <c r="C30" s="73"/>
      <c r="D30" s="73"/>
      <c r="E30" s="73"/>
      <c r="F30" s="73"/>
      <c r="G30" s="73"/>
      <c r="H30" s="73"/>
      <c r="I30" s="73"/>
      <c r="J30" s="73"/>
      <c r="K30" s="73"/>
    </row>
    <row r="31" spans="2:16" ht="16.5" customHeight="1">
      <c r="B31" s="112" t="s">
        <v>326</v>
      </c>
      <c r="C31" s="73"/>
      <c r="D31" s="73"/>
      <c r="E31" s="73"/>
      <c r="F31" s="73"/>
      <c r="G31" s="73"/>
      <c r="H31" s="73"/>
      <c r="I31" s="73"/>
      <c r="J31" s="73"/>
      <c r="K31" s="6"/>
    </row>
    <row r="32" spans="2:16" ht="4.5" customHeight="1">
      <c r="B32" s="112"/>
      <c r="C32" s="73"/>
      <c r="D32" s="73"/>
      <c r="E32" s="73"/>
      <c r="F32" s="73"/>
      <c r="G32" s="73"/>
      <c r="H32" s="73"/>
      <c r="I32" s="73"/>
      <c r="J32" s="73"/>
      <c r="K32" s="6"/>
    </row>
    <row r="33" spans="2:11" ht="16.5" customHeight="1">
      <c r="B33" s="113"/>
      <c r="C33" s="911" t="s">
        <v>342</v>
      </c>
      <c r="D33" s="451" t="s">
        <v>343</v>
      </c>
      <c r="E33" s="448" t="s">
        <v>344</v>
      </c>
      <c r="F33" s="449" t="s">
        <v>331</v>
      </c>
      <c r="G33" s="73"/>
      <c r="H33" s="73"/>
      <c r="I33" s="73"/>
      <c r="J33" s="73"/>
      <c r="K33" s="73"/>
    </row>
    <row r="34" spans="2:11" ht="16.5" customHeight="1">
      <c r="B34" s="113"/>
      <c r="C34" s="905"/>
      <c r="D34" s="608">
        <v>13</v>
      </c>
      <c r="E34" s="609">
        <v>0</v>
      </c>
      <c r="F34" s="610">
        <f>(D34/배점기준!$E$3+E34/배점기준!$E$3*0.5)</f>
        <v>1</v>
      </c>
      <c r="G34" s="73"/>
      <c r="H34" s="73"/>
      <c r="I34" s="73"/>
      <c r="J34" s="73"/>
      <c r="K34" s="73"/>
    </row>
    <row r="35" spans="2:11" ht="17.25" customHeight="1">
      <c r="B35" s="73"/>
      <c r="C35" s="911" t="s">
        <v>345</v>
      </c>
      <c r="D35" s="451" t="s">
        <v>346</v>
      </c>
      <c r="E35" s="452" t="s">
        <v>347</v>
      </c>
      <c r="F35" s="452" t="s">
        <v>348</v>
      </c>
      <c r="G35" s="452" t="s">
        <v>397</v>
      </c>
      <c r="H35" s="449" t="s">
        <v>331</v>
      </c>
      <c r="I35" s="73"/>
      <c r="J35" s="73"/>
      <c r="K35" s="73"/>
    </row>
    <row r="36" spans="2:11" ht="17.25" customHeight="1">
      <c r="C36" s="905"/>
      <c r="D36" s="450"/>
      <c r="E36" s="453"/>
      <c r="F36" s="453"/>
      <c r="G36" s="453"/>
      <c r="H36" s="485">
        <f>D36*E36*F36*G36</f>
        <v>0</v>
      </c>
      <c r="I36" s="73"/>
      <c r="J36" s="73"/>
      <c r="K36" s="73"/>
    </row>
    <row r="37" spans="2:11" ht="17.25" customHeight="1">
      <c r="C37" s="73"/>
      <c r="D37" s="73"/>
      <c r="E37" s="73"/>
      <c r="F37" s="73"/>
      <c r="G37" s="73"/>
      <c r="H37" s="73"/>
      <c r="I37" s="73"/>
      <c r="J37" s="73"/>
      <c r="K37" s="73"/>
    </row>
  </sheetData>
  <protectedRanges>
    <protectedRange password="CF2F" sqref="E35 E9:J10 I22:J22 E5:F5 E6:E7 E19 G26 I26:J26 E12:J13" name="범위2"/>
    <protectedRange password="CF2F" sqref="E22:F22" name="범위2_1"/>
    <protectedRange password="CF2F" sqref="E26:F26" name="범위2_2"/>
    <protectedRange password="CF2F" sqref="G22:H22" name="범위2_3"/>
    <protectedRange password="CF2F" sqref="H26" name="범위2_4"/>
  </protectedRanges>
  <mergeCells count="14">
    <mergeCell ref="C35:C36"/>
    <mergeCell ref="C33:C34"/>
    <mergeCell ref="C26:C29"/>
    <mergeCell ref="K28:K29"/>
    <mergeCell ref="K26:K27"/>
    <mergeCell ref="C5:C7"/>
    <mergeCell ref="C21:C25"/>
    <mergeCell ref="C19:C20"/>
    <mergeCell ref="K24:K25"/>
    <mergeCell ref="K22:K23"/>
    <mergeCell ref="K9:K11"/>
    <mergeCell ref="K12:K14"/>
    <mergeCell ref="C8:C11"/>
    <mergeCell ref="C12:C14"/>
  </mergeCells>
  <phoneticPr fontId="2" type="noConversion"/>
  <pageMargins left="0.74803149606299213" right="0.74803149606299213" top="0.78740157480314965" bottom="0.78740157480314965" header="0.51181102362204722" footer="0.51181102362204722"/>
  <pageSetup paperSize="9" scale="8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64"/>
  <sheetViews>
    <sheetView view="pageBreakPreview" zoomScale="85" zoomScaleNormal="85" zoomScaleSheetLayoutView="85" workbookViewId="0">
      <selection activeCell="D29" sqref="D29:E29"/>
    </sheetView>
  </sheetViews>
  <sheetFormatPr defaultRowHeight="13.5"/>
  <cols>
    <col min="1" max="1" width="9.33203125" style="3" customWidth="1"/>
    <col min="2" max="2" width="21.109375" style="76" customWidth="1"/>
    <col min="3" max="3" width="8.44140625" style="76" customWidth="1"/>
    <col min="4" max="4" width="11.88671875" style="76" customWidth="1"/>
    <col min="5" max="5" width="8.77734375" style="76" customWidth="1"/>
    <col min="6" max="6" width="8.44140625" style="76" customWidth="1"/>
    <col min="7" max="7" width="10.33203125" style="75" customWidth="1"/>
    <col min="8" max="16384" width="8.88671875" style="3"/>
  </cols>
  <sheetData>
    <row r="1" spans="1:10" s="5" customFormat="1" ht="28.5" customHeight="1">
      <c r="A1" s="962" t="s">
        <v>502</v>
      </c>
      <c r="B1" s="963"/>
      <c r="C1" s="963"/>
      <c r="D1" s="963"/>
      <c r="E1" s="963"/>
      <c r="F1" s="963"/>
      <c r="G1" s="964"/>
    </row>
    <row r="2" spans="1:10" s="5" customFormat="1" ht="13.5" customHeight="1">
      <c r="B2" s="71"/>
      <c r="C2" s="71"/>
      <c r="D2" s="71"/>
      <c r="E2" s="71"/>
      <c r="F2" s="71"/>
      <c r="G2" s="72"/>
    </row>
    <row r="3" spans="1:10" ht="23.1" customHeight="1">
      <c r="A3" s="965" t="s">
        <v>503</v>
      </c>
      <c r="B3" s="965"/>
      <c r="C3" s="965"/>
      <c r="D3" s="966" t="s">
        <v>504</v>
      </c>
      <c r="E3" s="967"/>
      <c r="F3" s="968"/>
      <c r="G3" s="969" t="s">
        <v>505</v>
      </c>
    </row>
    <row r="4" spans="1:10" ht="23.1" customHeight="1">
      <c r="A4" s="498"/>
      <c r="B4" s="585" t="s">
        <v>506</v>
      </c>
      <c r="C4" s="585" t="s">
        <v>507</v>
      </c>
      <c r="D4" s="971" t="s">
        <v>508</v>
      </c>
      <c r="E4" s="972"/>
      <c r="F4" s="154" t="s">
        <v>509</v>
      </c>
      <c r="G4" s="970"/>
    </row>
    <row r="5" spans="1:10" s="6" customFormat="1" ht="23.1" customHeight="1">
      <c r="A5" s="914" t="s">
        <v>510</v>
      </c>
      <c r="B5" s="950" t="s">
        <v>511</v>
      </c>
      <c r="C5" s="953">
        <f>SUM(F5:F9)</f>
        <v>13</v>
      </c>
      <c r="D5" s="954" t="s">
        <v>512</v>
      </c>
      <c r="E5" s="491" t="s">
        <v>513</v>
      </c>
      <c r="F5" s="492">
        <f>배점기준!C11</f>
        <v>3</v>
      </c>
      <c r="G5" s="493">
        <f>기술자!G5</f>
        <v>3</v>
      </c>
    </row>
    <row r="6" spans="1:10" s="6" customFormat="1" ht="23.1" customHeight="1">
      <c r="A6" s="914"/>
      <c r="B6" s="919"/>
      <c r="C6" s="926"/>
      <c r="D6" s="955"/>
      <c r="E6" s="143" t="s">
        <v>514</v>
      </c>
      <c r="F6" s="151">
        <f>배점기준!C17</f>
        <v>4</v>
      </c>
      <c r="G6" s="152">
        <f>기술자!K9</f>
        <v>4</v>
      </c>
    </row>
    <row r="7" spans="1:10" s="6" customFormat="1" ht="23.1" customHeight="1">
      <c r="A7" s="914"/>
      <c r="B7" s="919"/>
      <c r="C7" s="926"/>
      <c r="D7" s="927"/>
      <c r="E7" s="143" t="s">
        <v>515</v>
      </c>
      <c r="F7" s="151">
        <f>배점기준!C25</f>
        <v>4</v>
      </c>
      <c r="G7" s="152">
        <f>기술자!K12</f>
        <v>4</v>
      </c>
    </row>
    <row r="8" spans="1:10" s="6" customFormat="1" ht="23.1" customHeight="1">
      <c r="A8" s="914"/>
      <c r="B8" s="919"/>
      <c r="C8" s="926"/>
      <c r="D8" s="948" t="s">
        <v>516</v>
      </c>
      <c r="E8" s="949"/>
      <c r="F8" s="151">
        <v>1</v>
      </c>
      <c r="G8" s="152">
        <v>1</v>
      </c>
      <c r="H8" s="3"/>
      <c r="I8" s="3"/>
      <c r="J8" s="3"/>
    </row>
    <row r="9" spans="1:10" s="6" customFormat="1" ht="23.1" customHeight="1">
      <c r="A9" s="914"/>
      <c r="B9" s="957"/>
      <c r="C9" s="958"/>
      <c r="D9" s="948" t="s">
        <v>517</v>
      </c>
      <c r="E9" s="949"/>
      <c r="F9" s="151">
        <v>1</v>
      </c>
      <c r="G9" s="152">
        <v>1</v>
      </c>
      <c r="H9" s="3"/>
      <c r="I9" s="3"/>
      <c r="J9" s="3"/>
    </row>
    <row r="10" spans="1:10" s="6" customFormat="1" ht="23.1" customHeight="1">
      <c r="A10" s="914"/>
      <c r="B10" s="950" t="s">
        <v>518</v>
      </c>
      <c r="C10" s="953">
        <f>SUM(F10:F17)</f>
        <v>39</v>
      </c>
      <c r="D10" s="954" t="s">
        <v>519</v>
      </c>
      <c r="E10" s="491" t="s">
        <v>513</v>
      </c>
      <c r="F10" s="492">
        <f>배점기준!C33</f>
        <v>4</v>
      </c>
      <c r="G10" s="493">
        <f>기술자!F19</f>
        <v>2.4</v>
      </c>
      <c r="H10" s="3"/>
      <c r="I10" s="3"/>
      <c r="J10" s="3"/>
    </row>
    <row r="11" spans="1:10" s="6" customFormat="1" ht="23.1" customHeight="1">
      <c r="A11" s="914"/>
      <c r="B11" s="951"/>
      <c r="C11" s="926"/>
      <c r="D11" s="955"/>
      <c r="E11" s="143" t="s">
        <v>514</v>
      </c>
      <c r="F11" s="151">
        <f>배점기준!C39</f>
        <v>7</v>
      </c>
      <c r="G11" s="152">
        <f>기술자!K22</f>
        <v>7.0000000000000009</v>
      </c>
      <c r="H11" s="3"/>
      <c r="I11" s="3"/>
      <c r="J11" s="3"/>
    </row>
    <row r="12" spans="1:10" s="6" customFormat="1" ht="23.1" customHeight="1">
      <c r="A12" s="914"/>
      <c r="B12" s="951"/>
      <c r="C12" s="926"/>
      <c r="D12" s="927"/>
      <c r="E12" s="143" t="s">
        <v>515</v>
      </c>
      <c r="F12" s="151">
        <f>배점기준!C55</f>
        <v>5</v>
      </c>
      <c r="G12" s="152">
        <f>기술자!K26</f>
        <v>4.5</v>
      </c>
      <c r="H12" s="3"/>
      <c r="I12" s="3"/>
      <c r="J12" s="3"/>
    </row>
    <row r="13" spans="1:10" s="6" customFormat="1" ht="23.1" customHeight="1">
      <c r="A13" s="914"/>
      <c r="B13" s="951"/>
      <c r="C13" s="926"/>
      <c r="D13" s="956" t="s">
        <v>520</v>
      </c>
      <c r="E13" s="143" t="s">
        <v>513</v>
      </c>
      <c r="F13" s="151">
        <f>배점기준!C35</f>
        <v>8</v>
      </c>
      <c r="G13" s="152">
        <f>기술자!F20</f>
        <v>4.8</v>
      </c>
      <c r="H13" s="3"/>
      <c r="I13" s="3"/>
      <c r="J13" s="3"/>
    </row>
    <row r="14" spans="1:10" s="6" customFormat="1" ht="23.1" customHeight="1">
      <c r="A14" s="914"/>
      <c r="B14" s="951"/>
      <c r="C14" s="926"/>
      <c r="D14" s="955"/>
      <c r="E14" s="143" t="s">
        <v>514</v>
      </c>
      <c r="F14" s="151">
        <f>배점기준!C47</f>
        <v>8</v>
      </c>
      <c r="G14" s="152">
        <f>기술자!K24</f>
        <v>6.4</v>
      </c>
      <c r="H14" s="3"/>
      <c r="I14" s="3"/>
      <c r="J14" s="3"/>
    </row>
    <row r="15" spans="1:10" s="6" customFormat="1" ht="23.1" customHeight="1">
      <c r="A15" s="914"/>
      <c r="B15" s="951"/>
      <c r="C15" s="926"/>
      <c r="D15" s="927"/>
      <c r="E15" s="143" t="s">
        <v>515</v>
      </c>
      <c r="F15" s="151">
        <f>배점기준!C63</f>
        <v>5</v>
      </c>
      <c r="G15" s="152">
        <f>기술자!K28</f>
        <v>4.5</v>
      </c>
      <c r="H15" s="3"/>
      <c r="I15" s="3"/>
      <c r="J15" s="3"/>
    </row>
    <row r="16" spans="1:10" s="6" customFormat="1" ht="23.1" customHeight="1">
      <c r="A16" s="914"/>
      <c r="B16" s="951"/>
      <c r="C16" s="926"/>
      <c r="D16" s="948" t="s">
        <v>521</v>
      </c>
      <c r="E16" s="959"/>
      <c r="F16" s="319">
        <f>배점기준!C71</f>
        <v>1</v>
      </c>
      <c r="G16" s="153">
        <f>기술자!F34</f>
        <v>1</v>
      </c>
      <c r="H16" s="3"/>
      <c r="I16" s="3"/>
      <c r="J16" s="3"/>
    </row>
    <row r="17" spans="1:10" s="6" customFormat="1" ht="23.1" customHeight="1">
      <c r="A17" s="914"/>
      <c r="B17" s="952"/>
      <c r="C17" s="943"/>
      <c r="D17" s="960" t="s">
        <v>522</v>
      </c>
      <c r="E17" s="961"/>
      <c r="F17" s="494">
        <f>배점기준!C37</f>
        <v>1</v>
      </c>
      <c r="G17" s="446">
        <f>기술자!H36</f>
        <v>0</v>
      </c>
      <c r="H17" s="3"/>
      <c r="I17" s="3"/>
      <c r="J17" s="3"/>
    </row>
    <row r="18" spans="1:10" s="6" customFormat="1" ht="23.1" customHeight="1">
      <c r="A18" s="973" t="s">
        <v>523</v>
      </c>
      <c r="B18" s="976" t="s">
        <v>524</v>
      </c>
      <c r="C18" s="942">
        <v>15</v>
      </c>
      <c r="D18" s="917" t="s">
        <v>525</v>
      </c>
      <c r="E18" s="143" t="s">
        <v>526</v>
      </c>
      <c r="F18" s="151">
        <f>배점기준!C73</f>
        <v>6</v>
      </c>
      <c r="G18" s="152">
        <f>유사용역!H4</f>
        <v>6</v>
      </c>
      <c r="H18" s="3"/>
      <c r="I18" s="3"/>
      <c r="J18" s="3"/>
    </row>
    <row r="19" spans="1:10" s="6" customFormat="1" ht="23.1" customHeight="1">
      <c r="A19" s="974"/>
      <c r="B19" s="981"/>
      <c r="C19" s="926"/>
      <c r="D19" s="918"/>
      <c r="E19" s="143" t="s">
        <v>527</v>
      </c>
      <c r="F19" s="151">
        <f>배점기준!C77</f>
        <v>6</v>
      </c>
      <c r="G19" s="152">
        <f>유사용역!H7</f>
        <v>6</v>
      </c>
      <c r="H19" s="3"/>
      <c r="I19" s="3"/>
      <c r="J19" s="3"/>
    </row>
    <row r="20" spans="1:10" s="6" customFormat="1" ht="23.1" customHeight="1">
      <c r="A20" s="974"/>
      <c r="B20" s="981"/>
      <c r="C20" s="926"/>
      <c r="D20" s="920" t="s">
        <v>528</v>
      </c>
      <c r="E20" s="921"/>
      <c r="F20" s="319">
        <f>배점기준!C79</f>
        <v>1</v>
      </c>
      <c r="G20" s="153">
        <f>유사용역!F11</f>
        <v>0</v>
      </c>
      <c r="H20" s="3"/>
      <c r="I20" s="3"/>
      <c r="J20" s="3"/>
    </row>
    <row r="21" spans="1:10" s="6" customFormat="1" ht="23.1" customHeight="1">
      <c r="A21" s="974"/>
      <c r="B21" s="977"/>
      <c r="C21" s="943"/>
      <c r="D21" s="982" t="s">
        <v>711</v>
      </c>
      <c r="E21" s="983"/>
      <c r="F21" s="779">
        <f>배점기준!C81</f>
        <v>2</v>
      </c>
      <c r="G21" s="780">
        <f>용역수행성과!G6</f>
        <v>2</v>
      </c>
      <c r="H21" s="3"/>
      <c r="I21" s="3"/>
      <c r="J21" s="3"/>
    </row>
    <row r="22" spans="1:10" s="6" customFormat="1" ht="23.1" customHeight="1">
      <c r="A22" s="974"/>
      <c r="B22" s="980" t="s">
        <v>529</v>
      </c>
      <c r="C22" s="942">
        <v>10</v>
      </c>
      <c r="D22" s="922" t="s">
        <v>530</v>
      </c>
      <c r="E22" s="923"/>
      <c r="F22" s="492">
        <f>배점기준!C83</f>
        <v>7</v>
      </c>
      <c r="G22" s="493">
        <f>신용도!L6</f>
        <v>7</v>
      </c>
      <c r="H22" s="3"/>
      <c r="I22" s="3"/>
      <c r="J22" s="3"/>
    </row>
    <row r="23" spans="1:10" s="6" customFormat="1" ht="23.1" customHeight="1">
      <c r="A23" s="974"/>
      <c r="B23" s="952"/>
      <c r="C23" s="943"/>
      <c r="D23" s="924" t="s">
        <v>531</v>
      </c>
      <c r="E23" s="925"/>
      <c r="F23" s="494">
        <f>배점기준!C89</f>
        <v>3</v>
      </c>
      <c r="G23" s="446">
        <f>신용도!K13</f>
        <v>3</v>
      </c>
      <c r="H23" s="3"/>
      <c r="I23" s="3"/>
      <c r="J23" s="3"/>
    </row>
    <row r="24" spans="1:10" ht="23.1" customHeight="1">
      <c r="A24" s="974"/>
      <c r="B24" s="919" t="s">
        <v>532</v>
      </c>
      <c r="C24" s="926">
        <v>15</v>
      </c>
      <c r="D24" s="927" t="s">
        <v>533</v>
      </c>
      <c r="E24" s="928"/>
      <c r="F24" s="557">
        <f>배점기준!C93</f>
        <v>2</v>
      </c>
      <c r="G24" s="558">
        <f>기술투자!O6</f>
        <v>1.9510000000000001</v>
      </c>
    </row>
    <row r="25" spans="1:10" ht="23.1" customHeight="1">
      <c r="A25" s="974"/>
      <c r="B25" s="919"/>
      <c r="C25" s="926"/>
      <c r="D25" s="929" t="s">
        <v>534</v>
      </c>
      <c r="E25" s="930"/>
      <c r="F25" s="151">
        <f>배점기준!C98</f>
        <v>8</v>
      </c>
      <c r="G25" s="152">
        <f>기술투자!J13</f>
        <v>8</v>
      </c>
      <c r="H25" s="17"/>
    </row>
    <row r="26" spans="1:10" ht="23.1" customHeight="1">
      <c r="A26" s="974"/>
      <c r="B26" s="919"/>
      <c r="C26" s="926"/>
      <c r="D26" s="929" t="s">
        <v>535</v>
      </c>
      <c r="E26" s="930"/>
      <c r="F26" s="151">
        <f>배점기준!C100</f>
        <v>3</v>
      </c>
      <c r="G26" s="152">
        <f>기술투자!J26</f>
        <v>2.8441999999999998</v>
      </c>
      <c r="H26" s="17"/>
    </row>
    <row r="27" spans="1:10" ht="23.1" customHeight="1">
      <c r="A27" s="974"/>
      <c r="B27" s="976" t="s">
        <v>712</v>
      </c>
      <c r="C27" s="942">
        <v>2</v>
      </c>
      <c r="D27" s="948" t="s">
        <v>713</v>
      </c>
      <c r="E27" s="959"/>
      <c r="F27" s="557">
        <v>1</v>
      </c>
      <c r="G27" s="558">
        <f>'중소기업 상생발전'!F6</f>
        <v>0</v>
      </c>
      <c r="H27" s="17"/>
    </row>
    <row r="28" spans="1:10" ht="23.1" customHeight="1">
      <c r="A28" s="975"/>
      <c r="B28" s="977"/>
      <c r="C28" s="943"/>
      <c r="D28" s="978" t="s">
        <v>714</v>
      </c>
      <c r="E28" s="979"/>
      <c r="F28" s="557">
        <v>1</v>
      </c>
      <c r="G28" s="558">
        <f>'중소기업 상생발전'!F13</f>
        <v>0</v>
      </c>
      <c r="H28" s="17"/>
    </row>
    <row r="29" spans="1:10" ht="23.1" customHeight="1">
      <c r="A29" s="936" t="s">
        <v>536</v>
      </c>
      <c r="B29" s="937"/>
      <c r="C29" s="942">
        <v>10</v>
      </c>
      <c r="D29" s="935" t="s">
        <v>314</v>
      </c>
      <c r="E29" s="923"/>
      <c r="F29" s="492">
        <f>배점기준!C113</f>
        <v>3</v>
      </c>
      <c r="G29" s="493">
        <f>업무중복도!D9</f>
        <v>3</v>
      </c>
    </row>
    <row r="30" spans="1:10" ht="23.1" customHeight="1">
      <c r="A30" s="938"/>
      <c r="B30" s="939"/>
      <c r="C30" s="926"/>
      <c r="D30" s="915" t="s">
        <v>715</v>
      </c>
      <c r="E30" s="916"/>
      <c r="F30" s="781">
        <f>배점기준!C114</f>
        <v>4</v>
      </c>
      <c r="G30" s="782">
        <f>업무중복도!K9</f>
        <v>4</v>
      </c>
      <c r="H30" s="587"/>
    </row>
    <row r="31" spans="1:10" ht="23.1" customHeight="1">
      <c r="A31" s="938"/>
      <c r="B31" s="939"/>
      <c r="C31" s="926"/>
      <c r="D31" s="944" t="s">
        <v>716</v>
      </c>
      <c r="E31" s="945"/>
      <c r="F31" s="783">
        <v>2</v>
      </c>
      <c r="G31" s="784">
        <f>업무중복도!R9</f>
        <v>1.9666666666666666</v>
      </c>
      <c r="H31" s="587"/>
    </row>
    <row r="32" spans="1:10" ht="23.1" customHeight="1">
      <c r="A32" s="940"/>
      <c r="B32" s="941"/>
      <c r="C32" s="943"/>
      <c r="D32" s="946" t="s">
        <v>700</v>
      </c>
      <c r="E32" s="947"/>
      <c r="F32" s="785">
        <v>1</v>
      </c>
      <c r="G32" s="786">
        <f>업무중복도!Y9</f>
        <v>0.98333333333333328</v>
      </c>
      <c r="H32" s="587"/>
    </row>
    <row r="33" spans="1:7" ht="23.1" customHeight="1">
      <c r="A33" s="931" t="s">
        <v>537</v>
      </c>
      <c r="B33" s="932"/>
      <c r="C33" s="495"/>
      <c r="D33" s="933" t="s">
        <v>538</v>
      </c>
      <c r="E33" s="934"/>
      <c r="F33" s="496"/>
      <c r="G33" s="497">
        <f>가감점!F5</f>
        <v>0.3</v>
      </c>
    </row>
    <row r="34" spans="1:7" s="14" customFormat="1" ht="23.1" customHeight="1">
      <c r="A34" s="912" t="s">
        <v>539</v>
      </c>
      <c r="B34" s="912"/>
      <c r="C34" s="559">
        <f>SUM(C5:C33)</f>
        <v>104</v>
      </c>
      <c r="D34" s="913"/>
      <c r="E34" s="913"/>
      <c r="F34" s="913"/>
      <c r="G34" s="586">
        <f>ROUND(SUM(G5:G33),2)</f>
        <v>90.65</v>
      </c>
    </row>
    <row r="35" spans="1:7" ht="13.5" customHeight="1">
      <c r="C35" s="75"/>
      <c r="F35" s="75"/>
    </row>
    <row r="36" spans="1:7" ht="13.5" customHeight="1">
      <c r="C36" s="75"/>
      <c r="F36" s="75"/>
    </row>
    <row r="37" spans="1:7" ht="13.5" customHeight="1">
      <c r="F37" s="75"/>
    </row>
    <row r="38" spans="1:7" ht="13.5" customHeight="1">
      <c r="C38" s="75"/>
      <c r="F38" s="75"/>
    </row>
    <row r="39" spans="1:7" ht="13.5" customHeight="1">
      <c r="C39" s="75"/>
      <c r="F39" s="75"/>
    </row>
    <row r="40" spans="1:7" ht="13.5" customHeight="1">
      <c r="C40" s="75"/>
      <c r="F40" s="75"/>
    </row>
    <row r="41" spans="1:7" ht="13.5" customHeight="1">
      <c r="C41" s="75"/>
      <c r="F41" s="75"/>
    </row>
    <row r="42" spans="1:7" ht="13.5" customHeight="1">
      <c r="C42" s="75"/>
      <c r="F42" s="75"/>
    </row>
    <row r="43" spans="1:7" ht="13.5" customHeight="1">
      <c r="C43" s="75"/>
      <c r="F43" s="75"/>
    </row>
    <row r="44" spans="1:7" ht="13.5" customHeight="1">
      <c r="C44" s="75"/>
      <c r="F44" s="75"/>
    </row>
    <row r="45" spans="1:7" ht="13.5" customHeight="1">
      <c r="C45" s="75"/>
      <c r="F45" s="75"/>
    </row>
    <row r="46" spans="1:7" ht="13.5" customHeight="1">
      <c r="C46" s="75"/>
      <c r="F46" s="75"/>
    </row>
    <row r="47" spans="1:7" ht="13.5" customHeight="1">
      <c r="C47" s="75"/>
      <c r="F47" s="75"/>
    </row>
    <row r="48" spans="1:7" ht="13.5" customHeight="1">
      <c r="C48" s="75"/>
      <c r="F48" s="75"/>
    </row>
    <row r="49" spans="3:6" ht="13.5" customHeight="1">
      <c r="C49" s="75"/>
      <c r="F49" s="75"/>
    </row>
    <row r="50" spans="3:6" ht="13.5" customHeight="1">
      <c r="C50" s="75"/>
      <c r="F50" s="75"/>
    </row>
    <row r="51" spans="3:6" ht="13.5" customHeight="1">
      <c r="C51" s="75"/>
      <c r="F51" s="75"/>
    </row>
    <row r="52" spans="3:6" ht="13.5" customHeight="1">
      <c r="C52" s="75"/>
      <c r="F52" s="75"/>
    </row>
    <row r="53" spans="3:6" ht="13.5" customHeight="1">
      <c r="C53" s="75"/>
      <c r="F53" s="75"/>
    </row>
    <row r="54" spans="3:6" ht="13.5" customHeight="1">
      <c r="C54" s="75"/>
      <c r="F54" s="75"/>
    </row>
    <row r="55" spans="3:6" ht="13.5" customHeight="1">
      <c r="C55" s="75"/>
      <c r="F55" s="75"/>
    </row>
    <row r="56" spans="3:6" ht="13.5" customHeight="1">
      <c r="C56" s="75"/>
      <c r="F56" s="75"/>
    </row>
    <row r="57" spans="3:6" ht="13.5" customHeight="1">
      <c r="C57" s="75"/>
      <c r="F57" s="75"/>
    </row>
    <row r="58" spans="3:6" ht="13.5" customHeight="1">
      <c r="C58" s="75"/>
      <c r="F58" s="75"/>
    </row>
    <row r="59" spans="3:6">
      <c r="C59" s="75"/>
      <c r="F59" s="75"/>
    </row>
    <row r="60" spans="3:6">
      <c r="C60" s="75"/>
      <c r="F60" s="75"/>
    </row>
    <row r="61" spans="3:6">
      <c r="C61" s="75"/>
      <c r="F61" s="75"/>
    </row>
    <row r="62" spans="3:6">
      <c r="C62" s="75"/>
      <c r="F62" s="75"/>
    </row>
    <row r="63" spans="3:6">
      <c r="C63" s="75"/>
    </row>
    <row r="64" spans="3:6">
      <c r="C64" s="75"/>
    </row>
  </sheetData>
  <mergeCells count="46">
    <mergeCell ref="B18:B21"/>
    <mergeCell ref="D21:E21"/>
    <mergeCell ref="C18:C21"/>
    <mergeCell ref="B27:B28"/>
    <mergeCell ref="C27:C28"/>
    <mergeCell ref="D27:E27"/>
    <mergeCell ref="D28:E28"/>
    <mergeCell ref="B22:B23"/>
    <mergeCell ref="C22:C23"/>
    <mergeCell ref="A1:G1"/>
    <mergeCell ref="A3:C3"/>
    <mergeCell ref="D3:F3"/>
    <mergeCell ref="G3:G4"/>
    <mergeCell ref="D4:E4"/>
    <mergeCell ref="A29:B32"/>
    <mergeCell ref="C29:C32"/>
    <mergeCell ref="D31:E31"/>
    <mergeCell ref="D32:E32"/>
    <mergeCell ref="D9:E9"/>
    <mergeCell ref="B10:B17"/>
    <mergeCell ref="C10:C17"/>
    <mergeCell ref="D10:D12"/>
    <mergeCell ref="D13:D15"/>
    <mergeCell ref="B5:B9"/>
    <mergeCell ref="C5:C9"/>
    <mergeCell ref="D5:D7"/>
    <mergeCell ref="D16:E16"/>
    <mergeCell ref="D17:E17"/>
    <mergeCell ref="D8:E8"/>
    <mergeCell ref="A18:A28"/>
    <mergeCell ref="A34:B34"/>
    <mergeCell ref="D34:F34"/>
    <mergeCell ref="A5:A17"/>
    <mergeCell ref="D30:E30"/>
    <mergeCell ref="D18:D19"/>
    <mergeCell ref="B24:B26"/>
    <mergeCell ref="D20:E20"/>
    <mergeCell ref="D22:E22"/>
    <mergeCell ref="D23:E23"/>
    <mergeCell ref="C24:C26"/>
    <mergeCell ref="D24:E24"/>
    <mergeCell ref="D25:E25"/>
    <mergeCell ref="D26:E26"/>
    <mergeCell ref="A33:B33"/>
    <mergeCell ref="D33:E33"/>
    <mergeCell ref="D29:E29"/>
  </mergeCells>
  <phoneticPr fontId="2" type="noConversion"/>
  <pageMargins left="0.75" right="0.55118110236220474" top="0.98425196850393704" bottom="0.78740157480314965" header="0.51181102362204722" footer="0.51181102362204722"/>
  <pageSetup paperSize="9" scale="90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129"/>
  <sheetViews>
    <sheetView view="pageBreakPreview" zoomScale="85" zoomScaleNormal="85" zoomScaleSheetLayoutView="85" workbookViewId="0">
      <pane xSplit="3" topLeftCell="D1" activePane="topRight" state="frozen"/>
      <selection activeCell="B147" sqref="B147:F147"/>
      <selection pane="topRight" activeCell="H5" sqref="H5"/>
    </sheetView>
  </sheetViews>
  <sheetFormatPr defaultRowHeight="12" customHeight="1"/>
  <cols>
    <col min="1" max="1" width="3.77734375" style="136" customWidth="1"/>
    <col min="2" max="2" width="40.77734375" style="132" customWidth="1"/>
    <col min="3" max="3" width="15.44140625" style="132" customWidth="1"/>
    <col min="4" max="4" width="13.5546875" style="132" customWidth="1"/>
    <col min="5" max="5" width="10.5546875" style="132" bestFit="1" customWidth="1"/>
    <col min="6" max="6" width="10.5546875" style="132" customWidth="1"/>
    <col min="7" max="7" width="7.88671875" style="135" customWidth="1"/>
    <col min="8" max="8" width="7" style="130" customWidth="1"/>
    <col min="9" max="9" width="4.33203125" style="127" customWidth="1"/>
    <col min="10" max="16384" width="8.88671875" style="127"/>
  </cols>
  <sheetData>
    <row r="1" spans="1:9" s="124" customFormat="1" ht="50.25" customHeight="1">
      <c r="A1" s="320"/>
      <c r="B1" s="321" t="s">
        <v>717</v>
      </c>
      <c r="C1" s="325" t="s">
        <v>741</v>
      </c>
      <c r="D1" s="320"/>
      <c r="E1" s="321"/>
      <c r="F1" s="321"/>
      <c r="G1" s="120"/>
      <c r="H1" s="121"/>
      <c r="I1" s="123"/>
    </row>
    <row r="2" spans="1:9" s="123" customFormat="1" ht="9" customHeight="1" thickBot="1">
      <c r="A2" s="320"/>
      <c r="B2" s="321"/>
      <c r="C2" s="320"/>
      <c r="D2" s="320"/>
      <c r="E2" s="321"/>
      <c r="F2" s="321"/>
      <c r="G2" s="120"/>
      <c r="H2" s="121"/>
    </row>
    <row r="3" spans="1:9" s="125" customFormat="1" ht="33" customHeight="1">
      <c r="A3" s="992" t="s">
        <v>718</v>
      </c>
      <c r="B3" s="994" t="s">
        <v>719</v>
      </c>
      <c r="C3" s="996" t="s">
        <v>720</v>
      </c>
      <c r="D3" s="997"/>
      <c r="E3" s="998"/>
      <c r="F3" s="999" t="s">
        <v>721</v>
      </c>
      <c r="G3" s="1001" t="s">
        <v>722</v>
      </c>
      <c r="H3" s="1001" t="s">
        <v>723</v>
      </c>
      <c r="I3" s="984" t="s">
        <v>724</v>
      </c>
    </row>
    <row r="4" spans="1:9" s="125" customFormat="1" ht="33" customHeight="1">
      <c r="A4" s="993"/>
      <c r="B4" s="995"/>
      <c r="C4" s="753" t="s">
        <v>725</v>
      </c>
      <c r="D4" s="753" t="s">
        <v>726</v>
      </c>
      <c r="E4" s="754" t="s">
        <v>727</v>
      </c>
      <c r="F4" s="1000"/>
      <c r="G4" s="1002"/>
      <c r="H4" s="1002"/>
      <c r="I4" s="985"/>
    </row>
    <row r="5" spans="1:9" s="188" customFormat="1" ht="30" customHeight="1">
      <c r="A5" s="189">
        <f>ROW()-4</f>
        <v>1</v>
      </c>
      <c r="B5" s="788" t="s">
        <v>742</v>
      </c>
      <c r="C5" s="789">
        <v>31572</v>
      </c>
      <c r="D5" s="790">
        <v>32308</v>
      </c>
      <c r="E5" s="626">
        <f t="shared" ref="E5" si="0">IF(D5-C5+1&gt;=2*365,2*365,D5-C5+1)</f>
        <v>730</v>
      </c>
      <c r="F5" s="791">
        <v>366</v>
      </c>
      <c r="G5" s="792">
        <v>1</v>
      </c>
      <c r="H5" s="793">
        <f t="shared" ref="H5" si="1">F5*G5</f>
        <v>366</v>
      </c>
      <c r="I5" s="624"/>
    </row>
    <row r="6" spans="1:9" s="188" customFormat="1" ht="30" customHeight="1">
      <c r="A6" s="189">
        <f t="shared" ref="A6:A13" si="2">ROW()-4</f>
        <v>2</v>
      </c>
      <c r="B6" s="788"/>
      <c r="C6" s="789"/>
      <c r="D6" s="790"/>
      <c r="E6" s="626"/>
      <c r="F6" s="791"/>
      <c r="G6" s="792"/>
      <c r="H6" s="793"/>
      <c r="I6" s="624"/>
    </row>
    <row r="7" spans="1:9" s="188" customFormat="1" ht="30" customHeight="1">
      <c r="A7" s="189">
        <f t="shared" si="2"/>
        <v>3</v>
      </c>
      <c r="B7" s="788"/>
      <c r="C7" s="789"/>
      <c r="D7" s="790"/>
      <c r="E7" s="626"/>
      <c r="F7" s="791"/>
      <c r="G7" s="792"/>
      <c r="H7" s="793"/>
      <c r="I7" s="624"/>
    </row>
    <row r="8" spans="1:9" s="188" customFormat="1" ht="30" customHeight="1">
      <c r="A8" s="189">
        <f t="shared" si="2"/>
        <v>4</v>
      </c>
      <c r="B8" s="788"/>
      <c r="C8" s="789"/>
      <c r="D8" s="790"/>
      <c r="E8" s="626"/>
      <c r="F8" s="791"/>
      <c r="G8" s="792"/>
      <c r="H8" s="793"/>
      <c r="I8" s="624"/>
    </row>
    <row r="9" spans="1:9" s="188" customFormat="1" ht="30" customHeight="1">
      <c r="A9" s="189">
        <f t="shared" si="2"/>
        <v>5</v>
      </c>
      <c r="B9" s="788"/>
      <c r="C9" s="789"/>
      <c r="D9" s="790"/>
      <c r="E9" s="626"/>
      <c r="F9" s="791"/>
      <c r="G9" s="792"/>
      <c r="H9" s="793"/>
      <c r="I9" s="624"/>
    </row>
    <row r="10" spans="1:9" s="188" customFormat="1" ht="30" customHeight="1">
      <c r="A10" s="189">
        <f t="shared" si="2"/>
        <v>6</v>
      </c>
      <c r="B10" s="788"/>
      <c r="C10" s="789"/>
      <c r="D10" s="790"/>
      <c r="E10" s="626"/>
      <c r="F10" s="791"/>
      <c r="G10" s="792"/>
      <c r="H10" s="793"/>
      <c r="I10" s="624"/>
    </row>
    <row r="11" spans="1:9" s="188" customFormat="1" ht="30" customHeight="1">
      <c r="A11" s="189">
        <f t="shared" si="2"/>
        <v>7</v>
      </c>
      <c r="B11" s="788"/>
      <c r="C11" s="789"/>
      <c r="D11" s="790"/>
      <c r="E11" s="626"/>
      <c r="F11" s="791"/>
      <c r="G11" s="792"/>
      <c r="H11" s="793"/>
      <c r="I11" s="624"/>
    </row>
    <row r="12" spans="1:9" s="188" customFormat="1" ht="30" customHeight="1">
      <c r="A12" s="189">
        <f t="shared" si="2"/>
        <v>8</v>
      </c>
      <c r="B12" s="788"/>
      <c r="C12" s="789"/>
      <c r="D12" s="790"/>
      <c r="E12" s="626"/>
      <c r="F12" s="791"/>
      <c r="G12" s="792"/>
      <c r="H12" s="793"/>
      <c r="I12" s="624"/>
    </row>
    <row r="13" spans="1:9" s="188" customFormat="1" ht="30" customHeight="1" thickBot="1">
      <c r="A13" s="189">
        <f t="shared" si="2"/>
        <v>9</v>
      </c>
      <c r="B13" s="788"/>
      <c r="C13" s="789"/>
      <c r="D13" s="790"/>
      <c r="E13" s="626"/>
      <c r="F13" s="791"/>
      <c r="G13" s="792"/>
      <c r="H13" s="793"/>
      <c r="I13" s="624"/>
    </row>
    <row r="14" spans="1:9" s="186" customFormat="1" ht="35.1" customHeight="1">
      <c r="A14" s="986" t="s">
        <v>728</v>
      </c>
      <c r="B14" s="987"/>
      <c r="C14" s="987"/>
      <c r="D14" s="987"/>
      <c r="E14" s="987"/>
      <c r="F14" s="987"/>
      <c r="G14" s="988"/>
      <c r="H14" s="346">
        <f>(SUM(H5:H13))/365</f>
        <v>1.0027397260273974</v>
      </c>
      <c r="I14" s="794" t="s">
        <v>729</v>
      </c>
    </row>
    <row r="15" spans="1:9" s="195" customFormat="1" ht="19.5" customHeight="1">
      <c r="A15" s="193" t="s">
        <v>730</v>
      </c>
      <c r="B15" s="989" t="s">
        <v>731</v>
      </c>
      <c r="C15" s="989"/>
      <c r="D15" s="989"/>
      <c r="E15" s="989"/>
      <c r="F15" s="989"/>
      <c r="G15" s="989"/>
      <c r="H15" s="194"/>
      <c r="I15" s="795"/>
    </row>
    <row r="16" spans="1:9" s="160" customFormat="1" ht="18.75" customHeight="1">
      <c r="A16" s="248">
        <v>1</v>
      </c>
      <c r="B16" s="159" t="s">
        <v>732</v>
      </c>
      <c r="C16" s="159"/>
      <c r="D16" s="159"/>
      <c r="E16" s="159"/>
      <c r="F16" s="159"/>
      <c r="G16" s="161"/>
    </row>
    <row r="17" spans="1:20" s="158" customFormat="1" ht="18.75" customHeight="1">
      <c r="A17" s="248">
        <v>2</v>
      </c>
      <c r="B17" s="159" t="s">
        <v>733</v>
      </c>
      <c r="C17" s="159"/>
      <c r="D17" s="159"/>
      <c r="E17" s="159"/>
      <c r="F17" s="159"/>
    </row>
    <row r="18" spans="1:20" s="158" customFormat="1" ht="42.75" customHeight="1">
      <c r="A18" s="248">
        <v>3</v>
      </c>
      <c r="B18" s="990" t="s">
        <v>734</v>
      </c>
      <c r="C18" s="990"/>
      <c r="D18" s="990"/>
      <c r="E18" s="990"/>
      <c r="F18" s="990"/>
    </row>
    <row r="19" spans="1:20" s="158" customFormat="1" ht="18.75" customHeight="1">
      <c r="A19" s="248">
        <v>4</v>
      </c>
      <c r="B19" s="158" t="s">
        <v>735</v>
      </c>
      <c r="C19" s="159"/>
      <c r="D19" s="159"/>
      <c r="E19" s="159"/>
      <c r="F19" s="159"/>
    </row>
    <row r="20" spans="1:20" s="158" customFormat="1" ht="18.75" customHeight="1">
      <c r="A20" s="248">
        <v>5</v>
      </c>
      <c r="B20" s="159" t="s">
        <v>736</v>
      </c>
      <c r="C20" s="159"/>
      <c r="D20" s="159"/>
      <c r="E20" s="159"/>
      <c r="F20" s="159"/>
    </row>
    <row r="21" spans="1:20" s="160" customFormat="1" ht="18.75" customHeight="1">
      <c r="A21" s="248">
        <v>6</v>
      </c>
      <c r="B21" s="159" t="s">
        <v>737</v>
      </c>
      <c r="C21" s="159"/>
      <c r="D21" s="159"/>
      <c r="E21" s="159"/>
      <c r="F21" s="159"/>
      <c r="G21" s="161"/>
    </row>
    <row r="22" spans="1:20" s="160" customFormat="1" ht="55.5" customHeight="1">
      <c r="A22" s="248">
        <v>7</v>
      </c>
      <c r="B22" s="991" t="s">
        <v>738</v>
      </c>
      <c r="C22" s="991"/>
      <c r="D22" s="991"/>
      <c r="E22" s="991"/>
      <c r="F22" s="991"/>
      <c r="G22" s="161"/>
    </row>
    <row r="23" spans="1:20" s="160" customFormat="1" ht="18.75" customHeight="1">
      <c r="A23" s="248">
        <v>8</v>
      </c>
      <c r="B23" s="159" t="s">
        <v>739</v>
      </c>
      <c r="C23" s="159"/>
      <c r="D23" s="159"/>
      <c r="E23" s="159"/>
      <c r="F23" s="159"/>
      <c r="G23" s="161"/>
    </row>
    <row r="24" spans="1:20" s="160" customFormat="1" ht="18.75" customHeight="1">
      <c r="A24" s="248">
        <v>9</v>
      </c>
      <c r="B24" s="165" t="s">
        <v>740</v>
      </c>
      <c r="C24" s="165"/>
      <c r="D24" s="165"/>
      <c r="E24" s="165"/>
      <c r="F24" s="165"/>
      <c r="G24" s="161"/>
    </row>
    <row r="25" spans="1:20" s="160" customFormat="1" ht="15" customHeight="1">
      <c r="B25" s="165"/>
      <c r="C25" s="165"/>
      <c r="D25" s="165"/>
      <c r="E25" s="165"/>
      <c r="F25" s="165"/>
      <c r="G25" s="161"/>
    </row>
    <row r="26" spans="1:20" s="195" customFormat="1" ht="15" customHeight="1">
      <c r="A26" s="159"/>
      <c r="B26" s="159"/>
      <c r="C26" s="159"/>
      <c r="D26" s="159"/>
      <c r="E26" s="159"/>
      <c r="F26" s="159"/>
      <c r="G26" s="197"/>
      <c r="H26" s="198"/>
    </row>
    <row r="27" spans="1:20" ht="15" customHeight="1">
      <c r="B27" s="145"/>
      <c r="C27" s="145"/>
      <c r="D27" s="145"/>
      <c r="E27" s="145"/>
      <c r="F27" s="145"/>
    </row>
    <row r="28" spans="1:20" s="163" customFormat="1" ht="15" customHeight="1">
      <c r="A28" s="136"/>
      <c r="B28" s="132"/>
      <c r="C28" s="137"/>
      <c r="D28" s="137"/>
      <c r="E28" s="137"/>
      <c r="F28" s="137"/>
      <c r="G28" s="135"/>
      <c r="H28" s="130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1:20" s="163" customFormat="1" ht="15" customHeight="1">
      <c r="A29" s="136"/>
      <c r="B29" s="132"/>
      <c r="C29" s="137"/>
      <c r="D29" s="137"/>
      <c r="E29" s="137"/>
      <c r="F29" s="137"/>
      <c r="G29" s="135"/>
      <c r="H29" s="130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1:20" s="163" customFormat="1" ht="12" customHeight="1">
      <c r="A30" s="136"/>
      <c r="B30" s="132"/>
      <c r="C30" s="137"/>
      <c r="D30" s="137"/>
      <c r="E30" s="137"/>
      <c r="F30" s="137"/>
      <c r="G30" s="135"/>
      <c r="H30" s="130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1:20" s="163" customFormat="1" ht="12" customHeight="1">
      <c r="A31" s="136"/>
      <c r="B31" s="132"/>
      <c r="C31" s="137"/>
      <c r="D31" s="137"/>
      <c r="E31" s="137"/>
      <c r="F31" s="137"/>
      <c r="G31" s="135"/>
      <c r="H31" s="130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1:20" s="163" customFormat="1" ht="12" customHeight="1">
      <c r="A32" s="136"/>
      <c r="B32" s="132"/>
      <c r="C32" s="137"/>
      <c r="D32" s="137"/>
      <c r="E32" s="137"/>
      <c r="F32" s="137"/>
      <c r="G32" s="135"/>
      <c r="H32" s="130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1:20" s="163" customFormat="1" ht="12" customHeight="1">
      <c r="A33" s="136"/>
      <c r="B33" s="132"/>
      <c r="C33" s="137"/>
      <c r="D33" s="137"/>
      <c r="E33" s="137"/>
      <c r="F33" s="137"/>
      <c r="G33" s="135"/>
      <c r="H33" s="130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</row>
    <row r="34" spans="1:20" s="163" customFormat="1" ht="12" customHeight="1">
      <c r="A34" s="136"/>
      <c r="B34" s="132"/>
      <c r="C34" s="137"/>
      <c r="D34" s="137"/>
      <c r="E34" s="137"/>
      <c r="F34" s="137"/>
      <c r="G34" s="135"/>
      <c r="H34" s="130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</row>
    <row r="35" spans="1:20" s="163" customFormat="1" ht="12" customHeight="1">
      <c r="A35" s="136"/>
      <c r="B35" s="132"/>
      <c r="C35" s="137"/>
      <c r="D35" s="137"/>
      <c r="E35" s="137"/>
      <c r="F35" s="137"/>
      <c r="G35" s="135"/>
      <c r="H35" s="130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</row>
    <row r="36" spans="1:20" s="163" customFormat="1" ht="12" customHeight="1">
      <c r="A36" s="136"/>
      <c r="B36" s="132"/>
      <c r="C36" s="137"/>
      <c r="D36" s="137"/>
      <c r="E36" s="137"/>
      <c r="F36" s="137"/>
      <c r="G36" s="135"/>
      <c r="H36" s="130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</row>
    <row r="37" spans="1:20" s="163" customFormat="1" ht="12" customHeight="1">
      <c r="A37" s="136"/>
      <c r="B37" s="132"/>
      <c r="C37" s="137"/>
      <c r="D37" s="137"/>
      <c r="E37" s="137"/>
      <c r="F37" s="137"/>
      <c r="G37" s="135"/>
      <c r="H37" s="130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</row>
    <row r="38" spans="1:20" s="163" customFormat="1" ht="12" customHeight="1">
      <c r="A38" s="136"/>
      <c r="B38" s="132"/>
      <c r="C38" s="137"/>
      <c r="D38" s="137"/>
      <c r="E38" s="137"/>
      <c r="F38" s="137"/>
      <c r="G38" s="135"/>
      <c r="H38" s="130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</row>
    <row r="39" spans="1:20" s="163" customFormat="1" ht="12" customHeight="1">
      <c r="A39" s="136"/>
      <c r="B39" s="132"/>
      <c r="C39" s="137"/>
      <c r="D39" s="137"/>
      <c r="E39" s="137"/>
      <c r="F39" s="137"/>
      <c r="G39" s="135"/>
      <c r="H39" s="130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</row>
    <row r="40" spans="1:20" s="163" customFormat="1" ht="12" customHeight="1">
      <c r="A40" s="136"/>
      <c r="B40" s="132"/>
      <c r="C40" s="137"/>
      <c r="D40" s="137"/>
      <c r="E40" s="137"/>
      <c r="F40" s="137"/>
      <c r="G40" s="135"/>
      <c r="H40" s="130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</row>
    <row r="41" spans="1:20" s="163" customFormat="1" ht="12" customHeight="1">
      <c r="A41" s="136"/>
      <c r="B41" s="132"/>
      <c r="C41" s="137"/>
      <c r="D41" s="137"/>
      <c r="E41" s="137"/>
      <c r="F41" s="137"/>
      <c r="G41" s="135"/>
      <c r="H41" s="130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</row>
    <row r="42" spans="1:20" s="163" customFormat="1" ht="12" customHeight="1">
      <c r="A42" s="136"/>
      <c r="B42" s="132"/>
      <c r="C42" s="137"/>
      <c r="D42" s="137"/>
      <c r="E42" s="137"/>
      <c r="F42" s="137"/>
      <c r="G42" s="135"/>
      <c r="H42" s="130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</row>
    <row r="43" spans="1:20" s="163" customFormat="1" ht="12" customHeight="1">
      <c r="A43" s="136"/>
      <c r="B43" s="132"/>
      <c r="C43" s="137"/>
      <c r="D43" s="137"/>
      <c r="E43" s="137"/>
      <c r="F43" s="137"/>
      <c r="G43" s="135"/>
      <c r="H43" s="130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</row>
    <row r="44" spans="1:20" s="163" customFormat="1" ht="12" customHeight="1">
      <c r="A44" s="136"/>
      <c r="B44" s="132"/>
      <c r="C44" s="137"/>
      <c r="D44" s="137"/>
      <c r="E44" s="137"/>
      <c r="F44" s="137"/>
      <c r="G44" s="135"/>
      <c r="H44" s="130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</row>
    <row r="45" spans="1:20" s="163" customFormat="1" ht="12" customHeight="1">
      <c r="A45" s="136"/>
      <c r="B45" s="132"/>
      <c r="C45" s="137"/>
      <c r="D45" s="137"/>
      <c r="E45" s="137"/>
      <c r="F45" s="137"/>
      <c r="G45" s="135"/>
      <c r="H45" s="130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</row>
    <row r="46" spans="1:20" s="163" customFormat="1" ht="12" customHeight="1">
      <c r="A46" s="136"/>
      <c r="B46" s="132"/>
      <c r="C46" s="137"/>
      <c r="D46" s="137"/>
      <c r="E46" s="137"/>
      <c r="F46" s="137"/>
      <c r="G46" s="135"/>
      <c r="H46" s="130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</row>
    <row r="47" spans="1:20" s="163" customFormat="1" ht="12" customHeight="1">
      <c r="A47" s="136"/>
      <c r="B47" s="132"/>
      <c r="C47" s="137"/>
      <c r="D47" s="137"/>
      <c r="E47" s="137"/>
      <c r="F47" s="137"/>
      <c r="G47" s="135"/>
      <c r="H47" s="130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</row>
    <row r="48" spans="1:20" s="163" customFormat="1" ht="12" customHeight="1">
      <c r="A48" s="136"/>
      <c r="B48" s="132"/>
      <c r="C48" s="137"/>
      <c r="D48" s="137"/>
      <c r="E48" s="137"/>
      <c r="F48" s="137"/>
      <c r="G48" s="135"/>
      <c r="H48" s="130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</row>
    <row r="49" spans="1:20" s="163" customFormat="1" ht="12" customHeight="1">
      <c r="A49" s="136"/>
      <c r="B49" s="132"/>
      <c r="C49" s="137"/>
      <c r="D49" s="137"/>
      <c r="E49" s="137"/>
      <c r="F49" s="137"/>
      <c r="G49" s="135"/>
      <c r="H49" s="130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</row>
    <row r="50" spans="1:20" s="163" customFormat="1" ht="12" customHeight="1">
      <c r="A50" s="136"/>
      <c r="B50" s="132"/>
      <c r="C50" s="137"/>
      <c r="D50" s="137"/>
      <c r="E50" s="137"/>
      <c r="F50" s="137"/>
      <c r="G50" s="135"/>
      <c r="H50" s="130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</row>
    <row r="51" spans="1:20" s="163" customFormat="1" ht="12" customHeight="1">
      <c r="A51" s="136"/>
      <c r="B51" s="132"/>
      <c r="C51" s="137"/>
      <c r="D51" s="137"/>
      <c r="E51" s="137"/>
      <c r="F51" s="137"/>
      <c r="G51" s="135"/>
      <c r="H51" s="130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</row>
    <row r="52" spans="1:20" s="163" customFormat="1" ht="12" customHeight="1">
      <c r="A52" s="136"/>
      <c r="B52" s="132"/>
      <c r="C52" s="137"/>
      <c r="D52" s="137"/>
      <c r="E52" s="137"/>
      <c r="F52" s="137"/>
      <c r="G52" s="135"/>
      <c r="H52" s="130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</row>
    <row r="53" spans="1:20" s="163" customFormat="1" ht="12" customHeight="1">
      <c r="A53" s="136"/>
      <c r="B53" s="132"/>
      <c r="C53" s="137"/>
      <c r="D53" s="137"/>
      <c r="E53" s="137"/>
      <c r="F53" s="137"/>
      <c r="G53" s="135"/>
      <c r="H53" s="130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</row>
    <row r="54" spans="1:20" s="163" customFormat="1" ht="12" customHeight="1">
      <c r="A54" s="136"/>
      <c r="B54" s="132"/>
      <c r="C54" s="137"/>
      <c r="D54" s="137"/>
      <c r="E54" s="137"/>
      <c r="F54" s="137"/>
      <c r="G54" s="135"/>
      <c r="H54" s="130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</row>
    <row r="55" spans="1:20" s="163" customFormat="1" ht="12" customHeight="1">
      <c r="A55" s="136"/>
      <c r="B55" s="132"/>
      <c r="C55" s="137"/>
      <c r="D55" s="137"/>
      <c r="E55" s="137"/>
      <c r="F55" s="137"/>
      <c r="G55" s="135"/>
      <c r="H55" s="130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</row>
    <row r="56" spans="1:20" s="163" customFormat="1" ht="12" customHeight="1">
      <c r="A56" s="136"/>
      <c r="B56" s="132"/>
      <c r="C56" s="137"/>
      <c r="D56" s="137"/>
      <c r="E56" s="137"/>
      <c r="F56" s="137"/>
      <c r="G56" s="135"/>
      <c r="H56" s="130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</row>
    <row r="57" spans="1:20" s="163" customFormat="1" ht="12" customHeight="1">
      <c r="A57" s="136"/>
      <c r="B57" s="132"/>
      <c r="C57" s="137"/>
      <c r="D57" s="137"/>
      <c r="E57" s="137"/>
      <c r="F57" s="137"/>
      <c r="G57" s="135"/>
      <c r="H57" s="130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</row>
    <row r="58" spans="1:20" s="163" customFormat="1" ht="12" customHeight="1">
      <c r="A58" s="136"/>
      <c r="B58" s="132"/>
      <c r="C58" s="137"/>
      <c r="D58" s="137"/>
      <c r="E58" s="137"/>
      <c r="F58" s="137"/>
      <c r="G58" s="135"/>
      <c r="H58" s="130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</row>
    <row r="59" spans="1:20" s="163" customFormat="1" ht="12" customHeight="1">
      <c r="A59" s="136"/>
      <c r="B59" s="132"/>
      <c r="C59" s="137"/>
      <c r="D59" s="137"/>
      <c r="E59" s="137"/>
      <c r="F59" s="137"/>
      <c r="G59" s="135"/>
      <c r="H59" s="130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</row>
    <row r="60" spans="1:20" s="163" customFormat="1" ht="12" customHeight="1">
      <c r="A60" s="136"/>
      <c r="B60" s="132"/>
      <c r="C60" s="137"/>
      <c r="D60" s="137"/>
      <c r="E60" s="137"/>
      <c r="F60" s="137"/>
      <c r="G60" s="135"/>
      <c r="H60" s="130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</row>
    <row r="61" spans="1:20" s="163" customFormat="1" ht="12" customHeight="1">
      <c r="A61" s="136"/>
      <c r="B61" s="132"/>
      <c r="C61" s="137"/>
      <c r="D61" s="137"/>
      <c r="E61" s="137"/>
      <c r="F61" s="137"/>
      <c r="G61" s="135"/>
      <c r="H61" s="130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</row>
    <row r="62" spans="1:20" s="163" customFormat="1" ht="12" customHeight="1">
      <c r="A62" s="136"/>
      <c r="B62" s="132"/>
      <c r="C62" s="137"/>
      <c r="D62" s="137"/>
      <c r="E62" s="137"/>
      <c r="F62" s="137"/>
      <c r="G62" s="135"/>
      <c r="H62" s="130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</row>
    <row r="63" spans="1:20" s="163" customFormat="1" ht="12" customHeight="1">
      <c r="A63" s="136"/>
      <c r="B63" s="132"/>
      <c r="C63" s="137"/>
      <c r="D63" s="137"/>
      <c r="E63" s="137"/>
      <c r="F63" s="137"/>
      <c r="G63" s="135"/>
      <c r="H63" s="130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</row>
    <row r="64" spans="1:20" s="163" customFormat="1" ht="12" customHeight="1">
      <c r="A64" s="136"/>
      <c r="B64" s="132"/>
      <c r="C64" s="137"/>
      <c r="D64" s="137"/>
      <c r="E64" s="137"/>
      <c r="F64" s="137"/>
      <c r="G64" s="135"/>
      <c r="H64" s="130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</row>
    <row r="65" spans="1:20" s="163" customFormat="1" ht="12" customHeight="1">
      <c r="A65" s="136"/>
      <c r="B65" s="132"/>
      <c r="C65" s="137"/>
      <c r="D65" s="137"/>
      <c r="E65" s="137"/>
      <c r="F65" s="137"/>
      <c r="G65" s="135"/>
      <c r="H65" s="130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</row>
    <row r="66" spans="1:20" s="163" customFormat="1" ht="12" customHeight="1">
      <c r="A66" s="136"/>
      <c r="B66" s="132"/>
      <c r="C66" s="137"/>
      <c r="D66" s="137"/>
      <c r="E66" s="137"/>
      <c r="F66" s="137"/>
      <c r="G66" s="135"/>
      <c r="H66" s="130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</row>
    <row r="67" spans="1:20" s="163" customFormat="1" ht="12" customHeight="1">
      <c r="A67" s="136"/>
      <c r="B67" s="132"/>
      <c r="C67" s="137"/>
      <c r="D67" s="137"/>
      <c r="E67" s="137"/>
      <c r="F67" s="137"/>
      <c r="G67" s="135"/>
      <c r="H67" s="130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</row>
    <row r="68" spans="1:20" s="163" customFormat="1" ht="12" customHeight="1">
      <c r="A68" s="136"/>
      <c r="B68" s="132"/>
      <c r="C68" s="137"/>
      <c r="D68" s="137"/>
      <c r="E68" s="137"/>
      <c r="F68" s="137"/>
      <c r="G68" s="135"/>
      <c r="H68" s="130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</row>
    <row r="69" spans="1:20" s="163" customFormat="1" ht="12" customHeight="1">
      <c r="A69" s="136"/>
      <c r="B69" s="132"/>
      <c r="C69" s="137"/>
      <c r="D69" s="137"/>
      <c r="E69" s="137"/>
      <c r="F69" s="137"/>
      <c r="G69" s="135"/>
      <c r="H69" s="130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</row>
    <row r="70" spans="1:20" s="163" customFormat="1" ht="12" customHeight="1">
      <c r="A70" s="136"/>
      <c r="B70" s="132"/>
      <c r="C70" s="137"/>
      <c r="D70" s="137"/>
      <c r="E70" s="137"/>
      <c r="F70" s="137"/>
      <c r="G70" s="135"/>
      <c r="H70" s="130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</row>
    <row r="71" spans="1:20" s="163" customFormat="1" ht="12" customHeight="1">
      <c r="A71" s="136"/>
      <c r="B71" s="132"/>
      <c r="C71" s="137"/>
      <c r="D71" s="137"/>
      <c r="E71" s="137"/>
      <c r="F71" s="137"/>
      <c r="G71" s="135"/>
      <c r="H71" s="130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</row>
    <row r="72" spans="1:20" s="163" customFormat="1" ht="12" customHeight="1">
      <c r="A72" s="136"/>
      <c r="B72" s="132"/>
      <c r="C72" s="137"/>
      <c r="D72" s="137"/>
      <c r="E72" s="137"/>
      <c r="F72" s="137"/>
      <c r="G72" s="135"/>
      <c r="H72" s="130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</row>
    <row r="73" spans="1:20" s="163" customFormat="1" ht="12" customHeight="1">
      <c r="A73" s="136"/>
      <c r="B73" s="132"/>
      <c r="C73" s="137"/>
      <c r="D73" s="137"/>
      <c r="E73" s="137"/>
      <c r="F73" s="137"/>
      <c r="G73" s="135"/>
      <c r="H73" s="130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</row>
    <row r="74" spans="1:20" s="163" customFormat="1" ht="12" customHeight="1">
      <c r="A74" s="136"/>
      <c r="B74" s="132"/>
      <c r="C74" s="137"/>
      <c r="D74" s="137"/>
      <c r="E74" s="137"/>
      <c r="F74" s="137"/>
      <c r="G74" s="135"/>
      <c r="H74" s="130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</row>
    <row r="75" spans="1:20" s="163" customFormat="1" ht="12" customHeight="1">
      <c r="A75" s="136"/>
      <c r="B75" s="132"/>
      <c r="C75" s="137"/>
      <c r="D75" s="137"/>
      <c r="E75" s="137"/>
      <c r="F75" s="137"/>
      <c r="G75" s="135"/>
      <c r="H75" s="130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</row>
    <row r="76" spans="1:20" s="163" customFormat="1" ht="12" customHeight="1">
      <c r="A76" s="136"/>
      <c r="B76" s="132"/>
      <c r="C76" s="137"/>
      <c r="D76" s="137"/>
      <c r="E76" s="137"/>
      <c r="F76" s="137"/>
      <c r="G76" s="135"/>
      <c r="H76" s="130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</row>
    <row r="77" spans="1:20" s="163" customFormat="1" ht="12" customHeight="1">
      <c r="A77" s="136"/>
      <c r="B77" s="132"/>
      <c r="C77" s="137"/>
      <c r="D77" s="137"/>
      <c r="E77" s="137"/>
      <c r="F77" s="137"/>
      <c r="G77" s="135"/>
      <c r="H77" s="130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</row>
    <row r="78" spans="1:20" s="163" customFormat="1" ht="12" customHeight="1">
      <c r="A78" s="136"/>
      <c r="B78" s="132"/>
      <c r="C78" s="137"/>
      <c r="D78" s="137"/>
      <c r="E78" s="137"/>
      <c r="F78" s="137"/>
      <c r="G78" s="135"/>
      <c r="H78" s="130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</row>
    <row r="79" spans="1:20" s="163" customFormat="1" ht="12" customHeight="1">
      <c r="A79" s="136"/>
      <c r="B79" s="132"/>
      <c r="C79" s="137"/>
      <c r="D79" s="137"/>
      <c r="E79" s="137"/>
      <c r="F79" s="137"/>
      <c r="G79" s="135"/>
      <c r="H79" s="130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</row>
    <row r="80" spans="1:20" s="163" customFormat="1" ht="12" customHeight="1">
      <c r="A80" s="136"/>
      <c r="B80" s="132"/>
      <c r="C80" s="137"/>
      <c r="D80" s="137"/>
      <c r="E80" s="137"/>
      <c r="F80" s="137"/>
      <c r="G80" s="135"/>
      <c r="H80" s="130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</row>
    <row r="81" spans="1:20" s="163" customFormat="1" ht="12" customHeight="1">
      <c r="A81" s="136"/>
      <c r="B81" s="132"/>
      <c r="C81" s="137"/>
      <c r="D81" s="137"/>
      <c r="E81" s="137"/>
      <c r="F81" s="137"/>
      <c r="G81" s="135"/>
      <c r="H81" s="130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</row>
    <row r="82" spans="1:20" s="163" customFormat="1" ht="12" customHeight="1">
      <c r="A82" s="136"/>
      <c r="B82" s="132"/>
      <c r="C82" s="137"/>
      <c r="D82" s="137"/>
      <c r="E82" s="137"/>
      <c r="F82" s="137"/>
      <c r="G82" s="135"/>
      <c r="H82" s="130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</row>
    <row r="83" spans="1:20" s="163" customFormat="1" ht="12" customHeight="1">
      <c r="A83" s="136"/>
      <c r="B83" s="132"/>
      <c r="C83" s="137"/>
      <c r="D83" s="137"/>
      <c r="E83" s="137"/>
      <c r="F83" s="137"/>
      <c r="G83" s="135"/>
      <c r="H83" s="130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</row>
    <row r="84" spans="1:20" s="163" customFormat="1" ht="12" customHeight="1">
      <c r="A84" s="136"/>
      <c r="B84" s="132"/>
      <c r="C84" s="137"/>
      <c r="D84" s="137"/>
      <c r="E84" s="137"/>
      <c r="F84" s="137"/>
      <c r="G84" s="135"/>
      <c r="H84" s="130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</row>
    <row r="85" spans="1:20" s="163" customFormat="1" ht="12" customHeight="1">
      <c r="A85" s="136"/>
      <c r="B85" s="132"/>
      <c r="C85" s="137"/>
      <c r="D85" s="137"/>
      <c r="E85" s="137"/>
      <c r="F85" s="137"/>
      <c r="G85" s="135"/>
      <c r="H85" s="130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</row>
    <row r="86" spans="1:20" s="163" customFormat="1" ht="12" customHeight="1">
      <c r="A86" s="136"/>
      <c r="B86" s="132"/>
      <c r="C86" s="137"/>
      <c r="D86" s="137"/>
      <c r="E86" s="137"/>
      <c r="F86" s="137"/>
      <c r="G86" s="135"/>
      <c r="H86" s="130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</row>
    <row r="87" spans="1:20" s="163" customFormat="1" ht="12" customHeight="1">
      <c r="A87" s="136"/>
      <c r="B87" s="132"/>
      <c r="C87" s="137"/>
      <c r="D87" s="137"/>
      <c r="E87" s="137"/>
      <c r="F87" s="137"/>
      <c r="G87" s="135"/>
      <c r="H87" s="130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</row>
    <row r="88" spans="1:20" s="163" customFormat="1" ht="12" customHeight="1">
      <c r="A88" s="136"/>
      <c r="B88" s="132"/>
      <c r="C88" s="137"/>
      <c r="D88" s="137"/>
      <c r="E88" s="137"/>
      <c r="F88" s="137"/>
      <c r="G88" s="135"/>
      <c r="H88" s="130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</row>
    <row r="89" spans="1:20" s="163" customFormat="1" ht="12" customHeight="1">
      <c r="A89" s="136"/>
      <c r="B89" s="132"/>
      <c r="C89" s="137"/>
      <c r="D89" s="137"/>
      <c r="E89" s="137"/>
      <c r="F89" s="137"/>
      <c r="G89" s="135"/>
      <c r="H89" s="130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</row>
    <row r="90" spans="1:20" s="163" customFormat="1" ht="12" customHeight="1">
      <c r="A90" s="136"/>
      <c r="B90" s="132"/>
      <c r="C90" s="137"/>
      <c r="D90" s="137"/>
      <c r="E90" s="137"/>
      <c r="F90" s="137"/>
      <c r="G90" s="135"/>
      <c r="H90" s="130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</row>
    <row r="91" spans="1:20" s="163" customFormat="1" ht="12" customHeight="1">
      <c r="A91" s="136"/>
      <c r="B91" s="132"/>
      <c r="C91" s="137"/>
      <c r="D91" s="137"/>
      <c r="E91" s="137"/>
      <c r="F91" s="137"/>
      <c r="G91" s="135"/>
      <c r="H91" s="130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</row>
    <row r="92" spans="1:20" s="163" customFormat="1" ht="12" customHeight="1">
      <c r="A92" s="136"/>
      <c r="B92" s="132"/>
      <c r="C92" s="137"/>
      <c r="D92" s="137"/>
      <c r="E92" s="137"/>
      <c r="F92" s="137"/>
      <c r="G92" s="135"/>
      <c r="H92" s="130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</row>
    <row r="93" spans="1:20" s="163" customFormat="1" ht="12" customHeight="1">
      <c r="A93" s="136"/>
      <c r="B93" s="132"/>
      <c r="C93" s="137"/>
      <c r="D93" s="137"/>
      <c r="E93" s="137"/>
      <c r="F93" s="137"/>
      <c r="G93" s="135"/>
      <c r="H93" s="130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</row>
    <row r="94" spans="1:20" s="163" customFormat="1" ht="12" customHeight="1">
      <c r="A94" s="136"/>
      <c r="B94" s="132"/>
      <c r="C94" s="137"/>
      <c r="D94" s="137"/>
      <c r="E94" s="137"/>
      <c r="F94" s="137"/>
      <c r="G94" s="135"/>
      <c r="H94" s="130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</row>
    <row r="95" spans="1:20" s="163" customFormat="1" ht="12" customHeight="1">
      <c r="A95" s="136"/>
      <c r="B95" s="132"/>
      <c r="C95" s="137"/>
      <c r="D95" s="137"/>
      <c r="E95" s="137"/>
      <c r="F95" s="137"/>
      <c r="G95" s="135"/>
      <c r="H95" s="130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</row>
    <row r="96" spans="1:20" s="163" customFormat="1" ht="12" customHeight="1">
      <c r="A96" s="136"/>
      <c r="B96" s="132"/>
      <c r="C96" s="137"/>
      <c r="D96" s="137"/>
      <c r="E96" s="137"/>
      <c r="F96" s="137"/>
      <c r="G96" s="135"/>
      <c r="H96" s="130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</row>
    <row r="97" spans="1:20" s="163" customFormat="1" ht="12" customHeight="1">
      <c r="A97" s="136"/>
      <c r="B97" s="132"/>
      <c r="C97" s="137"/>
      <c r="D97" s="137"/>
      <c r="E97" s="137"/>
      <c r="F97" s="137"/>
      <c r="G97" s="135"/>
      <c r="H97" s="130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</row>
    <row r="98" spans="1:20" s="163" customFormat="1" ht="12" customHeight="1">
      <c r="A98" s="136"/>
      <c r="B98" s="132"/>
      <c r="C98" s="137"/>
      <c r="D98" s="137"/>
      <c r="E98" s="137"/>
      <c r="F98" s="137"/>
      <c r="G98" s="135"/>
      <c r="H98" s="130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</row>
    <row r="99" spans="1:20" s="163" customFormat="1" ht="12" customHeight="1">
      <c r="A99" s="136"/>
      <c r="B99" s="132"/>
      <c r="C99" s="137"/>
      <c r="D99" s="137"/>
      <c r="E99" s="137"/>
      <c r="F99" s="137"/>
      <c r="G99" s="135"/>
      <c r="H99" s="130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</row>
    <row r="100" spans="1:20" s="163" customFormat="1" ht="12" customHeight="1">
      <c r="A100" s="136"/>
      <c r="B100" s="132"/>
      <c r="C100" s="137"/>
      <c r="D100" s="137"/>
      <c r="E100" s="137"/>
      <c r="F100" s="137"/>
      <c r="G100" s="135"/>
      <c r="H100" s="130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</row>
    <row r="101" spans="1:20" s="163" customFormat="1" ht="12" customHeight="1">
      <c r="A101" s="136"/>
      <c r="B101" s="132"/>
      <c r="C101" s="137"/>
      <c r="D101" s="137"/>
      <c r="E101" s="137"/>
      <c r="F101" s="137"/>
      <c r="G101" s="135"/>
      <c r="H101" s="130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</row>
    <row r="102" spans="1:20" s="163" customFormat="1" ht="12" customHeight="1">
      <c r="A102" s="136"/>
      <c r="B102" s="132"/>
      <c r="C102" s="137"/>
      <c r="D102" s="137"/>
      <c r="E102" s="137"/>
      <c r="F102" s="137"/>
      <c r="G102" s="135"/>
      <c r="H102" s="130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</row>
    <row r="103" spans="1:20" s="163" customFormat="1" ht="12" customHeight="1">
      <c r="A103" s="136"/>
      <c r="B103" s="132"/>
      <c r="C103" s="137"/>
      <c r="D103" s="137"/>
      <c r="E103" s="137"/>
      <c r="F103" s="137"/>
      <c r="G103" s="135"/>
      <c r="H103" s="130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</row>
    <row r="104" spans="1:20" s="163" customFormat="1" ht="12" customHeight="1">
      <c r="A104" s="136"/>
      <c r="B104" s="132"/>
      <c r="C104" s="137"/>
      <c r="D104" s="137"/>
      <c r="E104" s="137"/>
      <c r="F104" s="137"/>
      <c r="G104" s="135"/>
      <c r="H104" s="130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</row>
    <row r="105" spans="1:20" s="163" customFormat="1" ht="12" customHeight="1">
      <c r="A105" s="136"/>
      <c r="B105" s="132"/>
      <c r="C105" s="137"/>
      <c r="D105" s="137"/>
      <c r="E105" s="137"/>
      <c r="F105" s="137"/>
      <c r="G105" s="135"/>
      <c r="H105" s="130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</row>
    <row r="106" spans="1:20" s="163" customFormat="1" ht="12" customHeight="1">
      <c r="A106" s="136"/>
      <c r="B106" s="132"/>
      <c r="C106" s="137"/>
      <c r="D106" s="137"/>
      <c r="E106" s="137"/>
      <c r="F106" s="137"/>
      <c r="G106" s="135"/>
      <c r="H106" s="130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</row>
    <row r="107" spans="1:20" s="163" customFormat="1" ht="12" customHeight="1">
      <c r="A107" s="136"/>
      <c r="B107" s="132"/>
      <c r="C107" s="137"/>
      <c r="D107" s="137"/>
      <c r="E107" s="137"/>
      <c r="F107" s="137"/>
      <c r="G107" s="135"/>
      <c r="H107" s="130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</row>
    <row r="108" spans="1:20" s="163" customFormat="1" ht="12" customHeight="1">
      <c r="A108" s="136"/>
      <c r="B108" s="132"/>
      <c r="C108" s="137"/>
      <c r="D108" s="137"/>
      <c r="E108" s="137"/>
      <c r="F108" s="137"/>
      <c r="G108" s="135"/>
      <c r="H108" s="130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</row>
    <row r="109" spans="1:20" s="163" customFormat="1" ht="12" customHeight="1">
      <c r="A109" s="136"/>
      <c r="B109" s="132"/>
      <c r="C109" s="137"/>
      <c r="D109" s="137"/>
      <c r="E109" s="137"/>
      <c r="F109" s="137"/>
      <c r="G109" s="135"/>
      <c r="H109" s="130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</row>
    <row r="110" spans="1:20" s="163" customFormat="1" ht="12" customHeight="1">
      <c r="A110" s="136"/>
      <c r="B110" s="132"/>
      <c r="C110" s="137"/>
      <c r="D110" s="137"/>
      <c r="E110" s="137"/>
      <c r="F110" s="137"/>
      <c r="G110" s="135"/>
      <c r="H110" s="130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</row>
    <row r="111" spans="1:20" s="163" customFormat="1" ht="12" customHeight="1">
      <c r="A111" s="136"/>
      <c r="B111" s="132"/>
      <c r="C111" s="137"/>
      <c r="D111" s="137"/>
      <c r="E111" s="137"/>
      <c r="F111" s="137"/>
      <c r="G111" s="135"/>
      <c r="H111" s="130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</row>
    <row r="112" spans="1:20" s="163" customFormat="1" ht="12" customHeight="1">
      <c r="A112" s="136"/>
      <c r="B112" s="132"/>
      <c r="C112" s="137"/>
      <c r="D112" s="137"/>
      <c r="E112" s="137"/>
      <c r="F112" s="137"/>
      <c r="G112" s="135"/>
      <c r="H112" s="130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</row>
    <row r="113" spans="1:20" s="163" customFormat="1" ht="12" customHeight="1">
      <c r="A113" s="136"/>
      <c r="B113" s="132"/>
      <c r="C113" s="137"/>
      <c r="D113" s="137"/>
      <c r="E113" s="137"/>
      <c r="F113" s="137"/>
      <c r="G113" s="135"/>
      <c r="H113" s="130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</row>
    <row r="114" spans="1:20" s="163" customFormat="1" ht="12" customHeight="1">
      <c r="A114" s="136"/>
      <c r="B114" s="132"/>
      <c r="C114" s="137"/>
      <c r="D114" s="137"/>
      <c r="E114" s="137"/>
      <c r="F114" s="137"/>
      <c r="G114" s="135"/>
      <c r="H114" s="130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</row>
    <row r="115" spans="1:20" s="163" customFormat="1" ht="12" customHeight="1">
      <c r="A115" s="136"/>
      <c r="B115" s="132"/>
      <c r="C115" s="137"/>
      <c r="D115" s="137"/>
      <c r="E115" s="137"/>
      <c r="F115" s="137"/>
      <c r="G115" s="135"/>
      <c r="H115" s="130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</row>
    <row r="116" spans="1:20" s="163" customFormat="1" ht="12" customHeight="1">
      <c r="A116" s="136"/>
      <c r="B116" s="132"/>
      <c r="C116" s="137"/>
      <c r="D116" s="137"/>
      <c r="E116" s="137"/>
      <c r="F116" s="137"/>
      <c r="G116" s="135"/>
      <c r="H116" s="130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</row>
    <row r="117" spans="1:20" s="163" customFormat="1" ht="12" customHeight="1">
      <c r="A117" s="136"/>
      <c r="B117" s="132"/>
      <c r="C117" s="137"/>
      <c r="D117" s="137"/>
      <c r="E117" s="137"/>
      <c r="F117" s="137"/>
      <c r="G117" s="135"/>
      <c r="H117" s="130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</row>
    <row r="118" spans="1:20" s="163" customFormat="1" ht="12" customHeight="1">
      <c r="A118" s="136"/>
      <c r="B118" s="132"/>
      <c r="C118" s="137"/>
      <c r="D118" s="137"/>
      <c r="E118" s="137"/>
      <c r="F118" s="137"/>
      <c r="G118" s="135"/>
      <c r="H118" s="130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</row>
    <row r="119" spans="1:20" s="163" customFormat="1" ht="12" customHeight="1">
      <c r="A119" s="136"/>
      <c r="B119" s="132"/>
      <c r="C119" s="137"/>
      <c r="D119" s="137"/>
      <c r="E119" s="137"/>
      <c r="F119" s="137"/>
      <c r="G119" s="135"/>
      <c r="H119" s="130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</row>
    <row r="120" spans="1:20" s="163" customFormat="1" ht="12" customHeight="1">
      <c r="A120" s="136"/>
      <c r="B120" s="132"/>
      <c r="C120" s="137"/>
      <c r="D120" s="137"/>
      <c r="E120" s="137"/>
      <c r="F120" s="137"/>
      <c r="G120" s="135"/>
      <c r="H120" s="130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</row>
    <row r="121" spans="1:20" s="163" customFormat="1" ht="12" customHeight="1">
      <c r="A121" s="136"/>
      <c r="B121" s="132"/>
      <c r="C121" s="137"/>
      <c r="D121" s="137"/>
      <c r="E121" s="137"/>
      <c r="F121" s="137"/>
      <c r="G121" s="135"/>
      <c r="H121" s="130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</row>
    <row r="122" spans="1:20" s="163" customFormat="1" ht="12" customHeight="1">
      <c r="A122" s="136"/>
      <c r="B122" s="132"/>
      <c r="C122" s="137"/>
      <c r="D122" s="137"/>
      <c r="E122" s="137"/>
      <c r="F122" s="137"/>
      <c r="G122" s="135"/>
      <c r="H122" s="130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</row>
    <row r="123" spans="1:20" s="163" customFormat="1" ht="12" customHeight="1">
      <c r="A123" s="136"/>
      <c r="B123" s="132"/>
      <c r="C123" s="137"/>
      <c r="D123" s="137"/>
      <c r="E123" s="137"/>
      <c r="F123" s="137"/>
      <c r="G123" s="135"/>
      <c r="H123" s="130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</row>
    <row r="124" spans="1:20" s="163" customFormat="1" ht="12" customHeight="1">
      <c r="A124" s="136"/>
      <c r="B124" s="132"/>
      <c r="C124" s="137"/>
      <c r="D124" s="137"/>
      <c r="E124" s="137"/>
      <c r="F124" s="137"/>
      <c r="G124" s="135"/>
      <c r="H124" s="130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</row>
    <row r="125" spans="1:20" s="163" customFormat="1" ht="12" customHeight="1">
      <c r="A125" s="136"/>
      <c r="B125" s="132"/>
      <c r="C125" s="137"/>
      <c r="D125" s="137"/>
      <c r="E125" s="137"/>
      <c r="F125" s="137"/>
      <c r="G125" s="135"/>
      <c r="H125" s="130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</row>
    <row r="126" spans="1:20" s="163" customFormat="1" ht="12" customHeight="1">
      <c r="A126" s="136"/>
      <c r="B126" s="132"/>
      <c r="C126" s="137"/>
      <c r="D126" s="137"/>
      <c r="E126" s="137"/>
      <c r="F126" s="137"/>
      <c r="G126" s="135"/>
      <c r="H126" s="130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</row>
    <row r="127" spans="1:20" s="163" customFormat="1" ht="12" customHeight="1">
      <c r="A127" s="136"/>
      <c r="B127" s="132"/>
      <c r="C127" s="137"/>
      <c r="D127" s="137"/>
      <c r="E127" s="137"/>
      <c r="F127" s="137"/>
      <c r="G127" s="135"/>
      <c r="H127" s="130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</row>
    <row r="128" spans="1:20" s="163" customFormat="1" ht="12" customHeight="1">
      <c r="A128" s="136"/>
      <c r="B128" s="132"/>
      <c r="C128" s="137"/>
      <c r="D128" s="137"/>
      <c r="E128" s="137"/>
      <c r="F128" s="137"/>
      <c r="G128" s="135"/>
      <c r="H128" s="130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</row>
    <row r="129" spans="1:20" s="163" customFormat="1" ht="12" customHeight="1">
      <c r="A129" s="136"/>
      <c r="B129" s="132"/>
      <c r="C129" s="137"/>
      <c r="D129" s="137"/>
      <c r="E129" s="137"/>
      <c r="F129" s="137"/>
      <c r="G129" s="135"/>
      <c r="H129" s="130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</row>
  </sheetData>
  <mergeCells count="11">
    <mergeCell ref="I3:I4"/>
    <mergeCell ref="A14:G14"/>
    <mergeCell ref="B15:G15"/>
    <mergeCell ref="B18:F18"/>
    <mergeCell ref="B22:F22"/>
    <mergeCell ref="A3:A4"/>
    <mergeCell ref="B3:B4"/>
    <mergeCell ref="C3:E3"/>
    <mergeCell ref="F3:F4"/>
    <mergeCell ref="G3:G4"/>
    <mergeCell ref="H3:H4"/>
  </mergeCells>
  <phoneticPr fontId="2" type="noConversion"/>
  <pageMargins left="0.74803149606299213" right="0.74803149606299213" top="0.63" bottom="0.65" header="0.51181102362204722" footer="0.51181102362204722"/>
  <pageSetup paperSize="9" scale="65" fitToHeight="0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U150"/>
  <sheetViews>
    <sheetView view="pageBreakPreview" zoomScaleNormal="85" zoomScaleSheetLayoutView="100" workbookViewId="0">
      <pane xSplit="3" topLeftCell="D1" activePane="topRight" state="frozen"/>
      <selection activeCell="J9" sqref="J9"/>
      <selection pane="topRight" activeCell="Q16" sqref="Q16"/>
    </sheetView>
  </sheetViews>
  <sheetFormatPr defaultRowHeight="12" customHeight="1"/>
  <cols>
    <col min="1" max="1" width="3.77734375" style="136" customWidth="1"/>
    <col min="2" max="2" width="27.77734375" style="132" customWidth="1"/>
    <col min="3" max="3" width="21.6640625" style="132" customWidth="1"/>
    <col min="4" max="4" width="12.44140625" style="132" customWidth="1"/>
    <col min="5" max="5" width="10.5546875" style="132" bestFit="1" customWidth="1"/>
    <col min="6" max="7" width="10.33203125" style="132" bestFit="1" customWidth="1"/>
    <col min="8" max="8" width="9.6640625" style="133" bestFit="1" customWidth="1"/>
    <col min="9" max="9" width="10.33203125" style="140" bestFit="1" customWidth="1"/>
    <col min="10" max="10" width="10.109375" style="140" bestFit="1" customWidth="1"/>
    <col min="11" max="11" width="9.5546875" style="163" customWidth="1"/>
    <col min="12" max="13" width="9.5546875" style="141" customWidth="1"/>
    <col min="14" max="14" width="8.44140625" style="135" bestFit="1" customWidth="1"/>
    <col min="15" max="15" width="8.44140625" style="135" customWidth="1"/>
    <col min="16" max="16" width="7.88671875" style="135" customWidth="1"/>
    <col min="17" max="17" width="8.5546875" style="135" bestFit="1" customWidth="1"/>
    <col min="18" max="18" width="6.77734375" style="130" customWidth="1"/>
    <col min="19" max="19" width="5.33203125" style="127" customWidth="1"/>
    <col min="20" max="16384" width="8.88671875" style="127"/>
  </cols>
  <sheetData>
    <row r="1" spans="1:19" s="124" customFormat="1" ht="50.25" customHeight="1">
      <c r="A1" s="320"/>
      <c r="B1" s="321" t="s">
        <v>543</v>
      </c>
      <c r="C1" s="325" t="s">
        <v>674</v>
      </c>
      <c r="D1" s="320"/>
      <c r="E1" s="321"/>
      <c r="F1" s="320"/>
      <c r="G1" s="320"/>
      <c r="H1" s="120"/>
      <c r="I1" s="120"/>
      <c r="J1" s="120"/>
      <c r="K1" s="280"/>
      <c r="L1" s="280"/>
      <c r="M1" s="280"/>
      <c r="N1" s="120"/>
      <c r="O1" s="120"/>
      <c r="P1" s="120"/>
      <c r="Q1" s="120"/>
      <c r="R1" s="121"/>
      <c r="S1" s="123"/>
    </row>
    <row r="2" spans="1:19" s="123" customFormat="1" ht="9" customHeight="1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280"/>
      <c r="M2" s="280"/>
      <c r="N2" s="120"/>
      <c r="O2" s="120"/>
      <c r="P2" s="120"/>
      <c r="Q2" s="120"/>
      <c r="R2" s="121"/>
    </row>
    <row r="3" spans="1:19" s="123" customFormat="1" ht="33.75" customHeight="1" thickBot="1">
      <c r="A3" s="320"/>
      <c r="B3" s="321" t="s">
        <v>32</v>
      </c>
      <c r="C3" s="320"/>
      <c r="D3" s="320"/>
      <c r="E3" s="321"/>
      <c r="F3" s="320"/>
      <c r="G3" s="320"/>
      <c r="H3" s="120"/>
      <c r="I3" s="120"/>
      <c r="J3" s="120"/>
      <c r="K3" s="280"/>
      <c r="L3" s="280"/>
      <c r="M3" s="280"/>
      <c r="N3" s="120"/>
      <c r="O3" s="120"/>
      <c r="P3" s="120"/>
      <c r="Q3" s="120"/>
      <c r="R3" s="121"/>
    </row>
    <row r="4" spans="1:19" s="125" customFormat="1" ht="33" customHeight="1">
      <c r="A4" s="992" t="s">
        <v>25</v>
      </c>
      <c r="B4" s="994" t="s">
        <v>26</v>
      </c>
      <c r="C4" s="1005" t="s">
        <v>27</v>
      </c>
      <c r="D4" s="1005" t="s">
        <v>28</v>
      </c>
      <c r="E4" s="1003" t="s">
        <v>33</v>
      </c>
      <c r="F4" s="996" t="s">
        <v>34</v>
      </c>
      <c r="G4" s="997"/>
      <c r="H4" s="998"/>
      <c r="I4" s="997" t="s">
        <v>35</v>
      </c>
      <c r="J4" s="997"/>
      <c r="K4" s="998"/>
      <c r="L4" s="999" t="s">
        <v>743</v>
      </c>
      <c r="M4" s="999" t="s">
        <v>744</v>
      </c>
      <c r="N4" s="999" t="s">
        <v>36</v>
      </c>
      <c r="O4" s="1003" t="s">
        <v>37</v>
      </c>
      <c r="P4" s="1001" t="s">
        <v>38</v>
      </c>
      <c r="Q4" s="1001" t="s">
        <v>39</v>
      </c>
      <c r="R4" s="1001" t="s">
        <v>40</v>
      </c>
      <c r="S4" s="984" t="s">
        <v>30</v>
      </c>
    </row>
    <row r="5" spans="1:19" s="125" customFormat="1" ht="33" customHeight="1">
      <c r="A5" s="993"/>
      <c r="B5" s="995"/>
      <c r="C5" s="1006"/>
      <c r="D5" s="1006"/>
      <c r="E5" s="1004"/>
      <c r="F5" s="182" t="s">
        <v>41</v>
      </c>
      <c r="G5" s="182" t="s">
        <v>42</v>
      </c>
      <c r="H5" s="183" t="s">
        <v>43</v>
      </c>
      <c r="I5" s="182" t="s">
        <v>44</v>
      </c>
      <c r="J5" s="182" t="s">
        <v>45</v>
      </c>
      <c r="K5" s="183" t="s">
        <v>46</v>
      </c>
      <c r="L5" s="1000"/>
      <c r="M5" s="1000"/>
      <c r="N5" s="1000"/>
      <c r="O5" s="1004"/>
      <c r="P5" s="1002"/>
      <c r="Q5" s="1002"/>
      <c r="R5" s="1002"/>
      <c r="S5" s="985"/>
    </row>
    <row r="6" spans="1:19" s="188" customFormat="1" ht="202.5" customHeight="1">
      <c r="A6" s="189">
        <v>1</v>
      </c>
      <c r="B6" s="731" t="s">
        <v>681</v>
      </c>
      <c r="C6" s="514" t="s">
        <v>495</v>
      </c>
      <c r="D6" s="732" t="s">
        <v>682</v>
      </c>
      <c r="E6" s="722">
        <v>833.42700000000002</v>
      </c>
      <c r="F6" s="720" t="s">
        <v>493</v>
      </c>
      <c r="G6" s="720" t="s">
        <v>494</v>
      </c>
      <c r="H6" s="625">
        <f>IF(G6-F6+1&gt;=365,365,G6-F6+1)</f>
        <v>365</v>
      </c>
      <c r="I6" s="720" t="s">
        <v>493</v>
      </c>
      <c r="J6" s="720" t="s">
        <v>494</v>
      </c>
      <c r="K6" s="625">
        <f>IF(J6-I6+1&gt;=365,365,J6-I6+1)</f>
        <v>365</v>
      </c>
      <c r="L6" s="796">
        <v>3330000</v>
      </c>
      <c r="M6" s="625">
        <f>(IF(L6&gt;=3300000,3,IF(L6&gt;=1650000,2,1)))</f>
        <v>3</v>
      </c>
      <c r="N6" s="626" t="s">
        <v>457</v>
      </c>
      <c r="O6" s="191">
        <f>189+113+91+54</f>
        <v>447</v>
      </c>
      <c r="P6" s="635">
        <f>E6-O6</f>
        <v>386.42700000000002</v>
      </c>
      <c r="Q6" s="636">
        <f>P6/(배점기준!$G$9/1000)*M6</f>
        <v>0.76988787863292019</v>
      </c>
      <c r="R6" s="637">
        <f>(IF(P6&lt;231,0,IF(Q6&gt;=4,6,IF(Q6&gt;=3.5,5,IF(Q6&gt;=3,4,IF(Q6&gt;=2.5,3,IF(Q6&gt;=2,2,IF(Q6&gt;=1.5,1.5,IF(Q6&gt;=1,1,IF(Q6&gt;=0.5,0.5,0.25))))))))))*K6/H6</f>
        <v>0.5</v>
      </c>
      <c r="S6" s="624"/>
    </row>
    <row r="7" spans="1:19" s="188" customFormat="1" ht="12" customHeight="1">
      <c r="A7" s="189">
        <f>A6+1</f>
        <v>2</v>
      </c>
      <c r="B7" s="721"/>
      <c r="C7" s="514"/>
      <c r="D7" s="723"/>
      <c r="E7" s="722"/>
      <c r="F7" s="720"/>
      <c r="G7" s="720"/>
      <c r="H7" s="625"/>
      <c r="I7" s="720"/>
      <c r="J7" s="720"/>
      <c r="K7" s="625"/>
      <c r="L7" s="625"/>
      <c r="M7" s="625"/>
      <c r="N7" s="626"/>
      <c r="O7" s="191"/>
      <c r="P7" s="635"/>
      <c r="Q7" s="636"/>
      <c r="R7" s="637"/>
      <c r="S7" s="624"/>
    </row>
    <row r="8" spans="1:19" s="188" customFormat="1" ht="12" customHeight="1">
      <c r="A8" s="189">
        <f t="shared" ref="A8:A33" si="0">A7+1</f>
        <v>3</v>
      </c>
      <c r="B8" s="721"/>
      <c r="C8" s="514"/>
      <c r="D8" s="723"/>
      <c r="E8" s="722"/>
      <c r="F8" s="720"/>
      <c r="G8" s="720"/>
      <c r="H8" s="625"/>
      <c r="I8" s="720"/>
      <c r="J8" s="720"/>
      <c r="K8" s="625"/>
      <c r="L8" s="625"/>
      <c r="M8" s="625"/>
      <c r="N8" s="626"/>
      <c r="O8" s="191"/>
      <c r="P8" s="635"/>
      <c r="Q8" s="636"/>
      <c r="R8" s="637"/>
      <c r="S8" s="624"/>
    </row>
    <row r="9" spans="1:19" s="188" customFormat="1" ht="12" customHeight="1">
      <c r="A9" s="189">
        <f t="shared" si="0"/>
        <v>4</v>
      </c>
      <c r="B9" s="721"/>
      <c r="C9" s="514"/>
      <c r="D9" s="723"/>
      <c r="E9" s="722"/>
      <c r="F9" s="720"/>
      <c r="G9" s="720"/>
      <c r="H9" s="625"/>
      <c r="I9" s="720"/>
      <c r="J9" s="720"/>
      <c r="K9" s="625"/>
      <c r="L9" s="625"/>
      <c r="M9" s="625"/>
      <c r="N9" s="626"/>
      <c r="O9" s="191"/>
      <c r="P9" s="635"/>
      <c r="Q9" s="636"/>
      <c r="R9" s="637"/>
      <c r="S9" s="624"/>
    </row>
    <row r="10" spans="1:19" s="188" customFormat="1" ht="12" customHeight="1">
      <c r="A10" s="189">
        <f t="shared" si="0"/>
        <v>5</v>
      </c>
      <c r="B10" s="721"/>
      <c r="C10" s="514"/>
      <c r="D10" s="723"/>
      <c r="E10" s="722"/>
      <c r="F10" s="720"/>
      <c r="G10" s="720"/>
      <c r="H10" s="625"/>
      <c r="I10" s="720"/>
      <c r="J10" s="720"/>
      <c r="K10" s="625"/>
      <c r="L10" s="625"/>
      <c r="M10" s="625"/>
      <c r="N10" s="626"/>
      <c r="O10" s="191"/>
      <c r="P10" s="635"/>
      <c r="Q10" s="636"/>
      <c r="R10" s="637"/>
      <c r="S10" s="624"/>
    </row>
    <row r="11" spans="1:19" s="188" customFormat="1" ht="12" customHeight="1">
      <c r="A11" s="189">
        <f t="shared" si="0"/>
        <v>6</v>
      </c>
      <c r="B11" s="721"/>
      <c r="C11" s="514"/>
      <c r="D11" s="723"/>
      <c r="E11" s="722"/>
      <c r="F11" s="720"/>
      <c r="G11" s="720"/>
      <c r="H11" s="625"/>
      <c r="I11" s="720"/>
      <c r="J11" s="720"/>
      <c r="K11" s="625"/>
      <c r="L11" s="625"/>
      <c r="M11" s="625"/>
      <c r="N11" s="626"/>
      <c r="O11" s="191"/>
      <c r="P11" s="635"/>
      <c r="Q11" s="636"/>
      <c r="R11" s="637"/>
      <c r="S11" s="624"/>
    </row>
    <row r="12" spans="1:19" s="188" customFormat="1" ht="12" customHeight="1">
      <c r="A12" s="189">
        <f t="shared" si="0"/>
        <v>7</v>
      </c>
      <c r="B12" s="721"/>
      <c r="C12" s="514"/>
      <c r="D12" s="723"/>
      <c r="E12" s="722"/>
      <c r="F12" s="720"/>
      <c r="G12" s="720"/>
      <c r="H12" s="625"/>
      <c r="I12" s="720"/>
      <c r="J12" s="720"/>
      <c r="K12" s="625"/>
      <c r="L12" s="625"/>
      <c r="M12" s="625"/>
      <c r="N12" s="626"/>
      <c r="O12" s="191"/>
      <c r="P12" s="635"/>
      <c r="Q12" s="636"/>
      <c r="R12" s="637"/>
      <c r="S12" s="624"/>
    </row>
    <row r="13" spans="1:19" s="188" customFormat="1" ht="12" customHeight="1">
      <c r="A13" s="189">
        <f t="shared" si="0"/>
        <v>8</v>
      </c>
      <c r="B13" s="721"/>
      <c r="C13" s="514"/>
      <c r="D13" s="723"/>
      <c r="E13" s="722"/>
      <c r="F13" s="720"/>
      <c r="G13" s="720"/>
      <c r="H13" s="625"/>
      <c r="I13" s="720"/>
      <c r="J13" s="720"/>
      <c r="K13" s="625"/>
      <c r="L13" s="625"/>
      <c r="M13" s="625"/>
      <c r="N13" s="626"/>
      <c r="O13" s="191"/>
      <c r="P13" s="635"/>
      <c r="Q13" s="636"/>
      <c r="R13" s="637"/>
      <c r="S13" s="624"/>
    </row>
    <row r="14" spans="1:19" s="188" customFormat="1" ht="12" customHeight="1">
      <c r="A14" s="189">
        <f t="shared" si="0"/>
        <v>9</v>
      </c>
      <c r="B14" s="721"/>
      <c r="C14" s="514"/>
      <c r="D14" s="723"/>
      <c r="E14" s="722"/>
      <c r="F14" s="720"/>
      <c r="G14" s="720"/>
      <c r="H14" s="625"/>
      <c r="I14" s="720"/>
      <c r="J14" s="720"/>
      <c r="K14" s="625"/>
      <c r="L14" s="625"/>
      <c r="M14" s="625"/>
      <c r="N14" s="626"/>
      <c r="O14" s="191"/>
      <c r="P14" s="635"/>
      <c r="Q14" s="636"/>
      <c r="R14" s="637"/>
      <c r="S14" s="624"/>
    </row>
    <row r="15" spans="1:19" s="188" customFormat="1" ht="12" customHeight="1">
      <c r="A15" s="189">
        <f t="shared" si="0"/>
        <v>10</v>
      </c>
      <c r="B15" s="721"/>
      <c r="C15" s="514"/>
      <c r="D15" s="723"/>
      <c r="E15" s="722"/>
      <c r="F15" s="720"/>
      <c r="G15" s="720"/>
      <c r="H15" s="625"/>
      <c r="I15" s="720"/>
      <c r="J15" s="720"/>
      <c r="K15" s="625"/>
      <c r="L15" s="625"/>
      <c r="M15" s="625"/>
      <c r="N15" s="626"/>
      <c r="O15" s="191"/>
      <c r="P15" s="635"/>
      <c r="Q15" s="636"/>
      <c r="R15" s="637"/>
      <c r="S15" s="624"/>
    </row>
    <row r="16" spans="1:19" s="188" customFormat="1" ht="12" customHeight="1">
      <c r="A16" s="189">
        <f t="shared" si="0"/>
        <v>11</v>
      </c>
      <c r="B16" s="721"/>
      <c r="C16" s="514"/>
      <c r="D16" s="723"/>
      <c r="E16" s="722"/>
      <c r="F16" s="720"/>
      <c r="G16" s="720"/>
      <c r="H16" s="625"/>
      <c r="I16" s="720"/>
      <c r="J16" s="720"/>
      <c r="K16" s="625"/>
      <c r="L16" s="625"/>
      <c r="M16" s="625"/>
      <c r="N16" s="626"/>
      <c r="O16" s="191"/>
      <c r="P16" s="635"/>
      <c r="Q16" s="636"/>
      <c r="R16" s="637"/>
      <c r="S16" s="624"/>
    </row>
    <row r="17" spans="1:21" s="188" customFormat="1" ht="12" hidden="1" customHeight="1">
      <c r="A17" s="189">
        <f t="shared" si="0"/>
        <v>12</v>
      </c>
      <c r="B17" s="721"/>
      <c r="C17" s="514"/>
      <c r="D17" s="723"/>
      <c r="E17" s="722"/>
      <c r="F17" s="720"/>
      <c r="G17" s="720"/>
      <c r="H17" s="625"/>
      <c r="I17" s="720"/>
      <c r="J17" s="720"/>
      <c r="K17" s="625"/>
      <c r="L17" s="625"/>
      <c r="M17" s="625"/>
      <c r="N17" s="626"/>
      <c r="O17" s="191"/>
      <c r="P17" s="635"/>
      <c r="Q17" s="636"/>
      <c r="R17" s="637"/>
      <c r="S17" s="624"/>
    </row>
    <row r="18" spans="1:21" s="188" customFormat="1" ht="12" hidden="1" customHeight="1">
      <c r="A18" s="189">
        <f t="shared" si="0"/>
        <v>13</v>
      </c>
      <c r="B18" s="721"/>
      <c r="C18" s="514"/>
      <c r="D18" s="723"/>
      <c r="E18" s="722"/>
      <c r="F18" s="720"/>
      <c r="G18" s="720"/>
      <c r="H18" s="625"/>
      <c r="I18" s="720"/>
      <c r="J18" s="720"/>
      <c r="K18" s="625"/>
      <c r="L18" s="625"/>
      <c r="M18" s="625"/>
      <c r="N18" s="626"/>
      <c r="O18" s="191"/>
      <c r="P18" s="635"/>
      <c r="Q18" s="636"/>
      <c r="R18" s="637"/>
      <c r="S18" s="624"/>
    </row>
    <row r="19" spans="1:21" s="188" customFormat="1" ht="12" hidden="1" customHeight="1">
      <c r="A19" s="189">
        <f t="shared" si="0"/>
        <v>14</v>
      </c>
      <c r="B19" s="721"/>
      <c r="C19" s="514"/>
      <c r="D19" s="723"/>
      <c r="E19" s="722"/>
      <c r="F19" s="720"/>
      <c r="G19" s="720"/>
      <c r="H19" s="625"/>
      <c r="I19" s="720"/>
      <c r="J19" s="720"/>
      <c r="K19" s="625"/>
      <c r="L19" s="625"/>
      <c r="M19" s="625"/>
      <c r="N19" s="626"/>
      <c r="O19" s="191"/>
      <c r="P19" s="635"/>
      <c r="Q19" s="636"/>
      <c r="R19" s="637"/>
      <c r="S19" s="624"/>
    </row>
    <row r="20" spans="1:21" s="188" customFormat="1" ht="12" hidden="1" customHeight="1">
      <c r="A20" s="189">
        <f t="shared" si="0"/>
        <v>15</v>
      </c>
      <c r="B20" s="721"/>
      <c r="C20" s="514"/>
      <c r="D20" s="723"/>
      <c r="E20" s="722"/>
      <c r="F20" s="720"/>
      <c r="G20" s="720"/>
      <c r="H20" s="625"/>
      <c r="I20" s="720"/>
      <c r="J20" s="720"/>
      <c r="K20" s="625"/>
      <c r="L20" s="625"/>
      <c r="M20" s="625"/>
      <c r="N20" s="626"/>
      <c r="O20" s="191"/>
      <c r="P20" s="635"/>
      <c r="Q20" s="636"/>
      <c r="R20" s="637"/>
      <c r="S20" s="624"/>
    </row>
    <row r="21" spans="1:21" s="188" customFormat="1" ht="12" hidden="1" customHeight="1">
      <c r="A21" s="189">
        <f t="shared" si="0"/>
        <v>16</v>
      </c>
      <c r="B21" s="721"/>
      <c r="C21" s="514"/>
      <c r="D21" s="723"/>
      <c r="E21" s="722"/>
      <c r="F21" s="720"/>
      <c r="G21" s="720"/>
      <c r="H21" s="625"/>
      <c r="I21" s="720"/>
      <c r="J21" s="720"/>
      <c r="K21" s="625"/>
      <c r="L21" s="625"/>
      <c r="M21" s="625"/>
      <c r="N21" s="626"/>
      <c r="O21" s="191"/>
      <c r="P21" s="635"/>
      <c r="Q21" s="636"/>
      <c r="R21" s="637"/>
      <c r="S21" s="624"/>
    </row>
    <row r="22" spans="1:21" s="188" customFormat="1" ht="12" hidden="1" customHeight="1">
      <c r="A22" s="189">
        <f t="shared" si="0"/>
        <v>17</v>
      </c>
      <c r="B22" s="721"/>
      <c r="C22" s="514"/>
      <c r="D22" s="723"/>
      <c r="E22" s="722"/>
      <c r="F22" s="720"/>
      <c r="G22" s="720"/>
      <c r="H22" s="625"/>
      <c r="I22" s="720"/>
      <c r="J22" s="720"/>
      <c r="K22" s="625"/>
      <c r="L22" s="625"/>
      <c r="M22" s="625"/>
      <c r="N22" s="626"/>
      <c r="O22" s="191"/>
      <c r="P22" s="635"/>
      <c r="Q22" s="636"/>
      <c r="R22" s="637"/>
      <c r="S22" s="624"/>
    </row>
    <row r="23" spans="1:21" s="188" customFormat="1" ht="12" hidden="1" customHeight="1">
      <c r="A23" s="189">
        <f t="shared" si="0"/>
        <v>18</v>
      </c>
      <c r="B23" s="721"/>
      <c r="C23" s="514"/>
      <c r="D23" s="723"/>
      <c r="E23" s="722"/>
      <c r="F23" s="720"/>
      <c r="G23" s="720"/>
      <c r="H23" s="625"/>
      <c r="I23" s="720"/>
      <c r="J23" s="720"/>
      <c r="K23" s="625"/>
      <c r="L23" s="625"/>
      <c r="M23" s="625"/>
      <c r="N23" s="626"/>
      <c r="O23" s="191"/>
      <c r="P23" s="635"/>
      <c r="Q23" s="636"/>
      <c r="R23" s="637"/>
      <c r="S23" s="624"/>
    </row>
    <row r="24" spans="1:21" s="188" customFormat="1" ht="12" hidden="1" customHeight="1">
      <c r="A24" s="189">
        <f t="shared" si="0"/>
        <v>19</v>
      </c>
      <c r="B24" s="721"/>
      <c r="C24" s="514"/>
      <c r="D24" s="723"/>
      <c r="E24" s="722"/>
      <c r="F24" s="720"/>
      <c r="G24" s="720"/>
      <c r="H24" s="625"/>
      <c r="I24" s="720"/>
      <c r="J24" s="720"/>
      <c r="K24" s="625"/>
      <c r="L24" s="625"/>
      <c r="M24" s="625"/>
      <c r="N24" s="626"/>
      <c r="O24" s="191"/>
      <c r="P24" s="635"/>
      <c r="Q24" s="636"/>
      <c r="R24" s="637"/>
      <c r="S24" s="624"/>
    </row>
    <row r="25" spans="1:21" s="188" customFormat="1" ht="12" hidden="1" customHeight="1">
      <c r="A25" s="189">
        <f t="shared" si="0"/>
        <v>20</v>
      </c>
      <c r="B25" s="721"/>
      <c r="C25" s="514"/>
      <c r="D25" s="723"/>
      <c r="E25" s="722"/>
      <c r="F25" s="720"/>
      <c r="G25" s="720"/>
      <c r="H25" s="625"/>
      <c r="I25" s="720"/>
      <c r="J25" s="720"/>
      <c r="K25" s="625"/>
      <c r="L25" s="625"/>
      <c r="M25" s="625"/>
      <c r="N25" s="626"/>
      <c r="O25" s="191"/>
      <c r="P25" s="635"/>
      <c r="Q25" s="636"/>
      <c r="R25" s="637"/>
      <c r="S25" s="624"/>
    </row>
    <row r="26" spans="1:21" s="188" customFormat="1" ht="12" hidden="1" customHeight="1">
      <c r="A26" s="189">
        <f t="shared" si="0"/>
        <v>21</v>
      </c>
      <c r="B26" s="721"/>
      <c r="C26" s="514"/>
      <c r="D26" s="723"/>
      <c r="E26" s="722"/>
      <c r="F26" s="720"/>
      <c r="G26" s="720"/>
      <c r="H26" s="625"/>
      <c r="I26" s="720"/>
      <c r="J26" s="720"/>
      <c r="K26" s="625"/>
      <c r="L26" s="625"/>
      <c r="M26" s="625"/>
      <c r="N26" s="626"/>
      <c r="O26" s="191"/>
      <c r="P26" s="635"/>
      <c r="Q26" s="636"/>
      <c r="R26" s="637"/>
      <c r="S26" s="624"/>
    </row>
    <row r="27" spans="1:21" s="188" customFormat="1" ht="12" hidden="1" customHeight="1">
      <c r="A27" s="189">
        <f t="shared" si="0"/>
        <v>22</v>
      </c>
      <c r="B27" s="721"/>
      <c r="C27" s="514"/>
      <c r="D27" s="723"/>
      <c r="E27" s="722"/>
      <c r="F27" s="720"/>
      <c r="G27" s="720"/>
      <c r="H27" s="625"/>
      <c r="I27" s="720"/>
      <c r="J27" s="720"/>
      <c r="K27" s="625"/>
      <c r="L27" s="625"/>
      <c r="M27" s="625"/>
      <c r="N27" s="626"/>
      <c r="O27" s="191"/>
      <c r="P27" s="635"/>
      <c r="Q27" s="636"/>
      <c r="R27" s="637"/>
      <c r="S27" s="624"/>
    </row>
    <row r="28" spans="1:21" s="188" customFormat="1" ht="12" hidden="1" customHeight="1">
      <c r="A28" s="189">
        <f t="shared" si="0"/>
        <v>23</v>
      </c>
      <c r="B28" s="721"/>
      <c r="C28" s="514"/>
      <c r="D28" s="723"/>
      <c r="E28" s="722"/>
      <c r="F28" s="720"/>
      <c r="G28" s="720"/>
      <c r="H28" s="625"/>
      <c r="I28" s="720"/>
      <c r="J28" s="720"/>
      <c r="K28" s="625"/>
      <c r="L28" s="625"/>
      <c r="M28" s="625"/>
      <c r="N28" s="626"/>
      <c r="O28" s="191"/>
      <c r="P28" s="635"/>
      <c r="Q28" s="636"/>
      <c r="R28" s="637"/>
      <c r="S28" s="624"/>
    </row>
    <row r="29" spans="1:21" s="188" customFormat="1" ht="12" hidden="1" customHeight="1">
      <c r="A29" s="189">
        <f t="shared" si="0"/>
        <v>24</v>
      </c>
      <c r="B29" s="721"/>
      <c r="C29" s="514"/>
      <c r="D29" s="723"/>
      <c r="E29" s="722"/>
      <c r="F29" s="720"/>
      <c r="G29" s="720"/>
      <c r="H29" s="625"/>
      <c r="I29" s="720"/>
      <c r="J29" s="720"/>
      <c r="K29" s="625"/>
      <c r="L29" s="625"/>
      <c r="M29" s="625"/>
      <c r="N29" s="626"/>
      <c r="O29" s="191"/>
      <c r="P29" s="635"/>
      <c r="Q29" s="636"/>
      <c r="R29" s="637"/>
      <c r="S29" s="624"/>
    </row>
    <row r="30" spans="1:21" s="186" customFormat="1" ht="12" hidden="1" customHeight="1">
      <c r="A30" s="189">
        <f t="shared" si="0"/>
        <v>25</v>
      </c>
      <c r="B30" s="721"/>
      <c r="C30" s="514"/>
      <c r="D30" s="723"/>
      <c r="E30" s="722"/>
      <c r="F30" s="720"/>
      <c r="G30" s="720"/>
      <c r="H30" s="625"/>
      <c r="I30" s="720"/>
      <c r="J30" s="720"/>
      <c r="K30" s="625"/>
      <c r="L30" s="625"/>
      <c r="M30" s="625"/>
      <c r="N30" s="626"/>
      <c r="O30" s="191"/>
      <c r="P30" s="635"/>
      <c r="Q30" s="636"/>
      <c r="R30" s="637"/>
      <c r="S30" s="624"/>
      <c r="U30" s="555"/>
    </row>
    <row r="31" spans="1:21" s="186" customFormat="1" ht="12" hidden="1" customHeight="1">
      <c r="A31" s="189">
        <f t="shared" si="0"/>
        <v>26</v>
      </c>
      <c r="B31" s="721"/>
      <c r="C31" s="514"/>
      <c r="D31" s="723"/>
      <c r="E31" s="722"/>
      <c r="F31" s="720"/>
      <c r="G31" s="720"/>
      <c r="H31" s="625"/>
      <c r="I31" s="720"/>
      <c r="J31" s="720"/>
      <c r="K31" s="625"/>
      <c r="L31" s="625"/>
      <c r="M31" s="625"/>
      <c r="N31" s="626"/>
      <c r="O31" s="191"/>
      <c r="P31" s="635"/>
      <c r="Q31" s="636"/>
      <c r="R31" s="637"/>
      <c r="S31" s="624"/>
      <c r="U31" s="555"/>
    </row>
    <row r="32" spans="1:21" s="186" customFormat="1" ht="12" hidden="1" customHeight="1">
      <c r="A32" s="189">
        <f t="shared" si="0"/>
        <v>27</v>
      </c>
      <c r="B32" s="721"/>
      <c r="C32" s="514"/>
      <c r="D32" s="723"/>
      <c r="E32" s="722"/>
      <c r="F32" s="720"/>
      <c r="G32" s="720"/>
      <c r="H32" s="625"/>
      <c r="I32" s="720"/>
      <c r="J32" s="720"/>
      <c r="K32" s="625"/>
      <c r="L32" s="625"/>
      <c r="M32" s="625"/>
      <c r="N32" s="626"/>
      <c r="O32" s="191"/>
      <c r="P32" s="635"/>
      <c r="Q32" s="636"/>
      <c r="R32" s="637"/>
      <c r="S32" s="624"/>
      <c r="U32" s="555"/>
    </row>
    <row r="33" spans="1:21" s="186" customFormat="1" ht="12" hidden="1" customHeight="1">
      <c r="A33" s="189">
        <f t="shared" si="0"/>
        <v>28</v>
      </c>
      <c r="B33" s="721"/>
      <c r="C33" s="514"/>
      <c r="D33" s="723"/>
      <c r="E33" s="722"/>
      <c r="F33" s="720"/>
      <c r="G33" s="720"/>
      <c r="H33" s="625"/>
      <c r="I33" s="720"/>
      <c r="J33" s="720"/>
      <c r="K33" s="625"/>
      <c r="L33" s="625"/>
      <c r="M33" s="625"/>
      <c r="N33" s="626"/>
      <c r="O33" s="191"/>
      <c r="P33" s="635"/>
      <c r="Q33" s="636"/>
      <c r="R33" s="637"/>
      <c r="S33" s="624"/>
      <c r="U33" s="555"/>
    </row>
    <row r="34" spans="1:21" s="186" customFormat="1" ht="35.1" customHeight="1">
      <c r="A34" s="986" t="s">
        <v>31</v>
      </c>
      <c r="B34" s="987"/>
      <c r="C34" s="987"/>
      <c r="D34" s="987"/>
      <c r="E34" s="987"/>
      <c r="F34" s="987"/>
      <c r="G34" s="987"/>
      <c r="H34" s="987"/>
      <c r="I34" s="987"/>
      <c r="J34" s="987"/>
      <c r="K34" s="987"/>
      <c r="L34" s="987"/>
      <c r="M34" s="987"/>
      <c r="N34" s="987"/>
      <c r="O34" s="987"/>
      <c r="P34" s="988"/>
      <c r="Q34" s="326"/>
      <c r="R34" s="346">
        <f>SUM(R6:R33)</f>
        <v>0.5</v>
      </c>
      <c r="S34" s="343"/>
    </row>
    <row r="35" spans="1:21" s="188" customFormat="1" ht="35.1" customHeight="1" thickBot="1">
      <c r="A35" s="1007" t="s">
        <v>47</v>
      </c>
      <c r="B35" s="1008"/>
      <c r="C35" s="1008"/>
      <c r="D35" s="1008"/>
      <c r="E35" s="1008"/>
      <c r="F35" s="1008"/>
      <c r="G35" s="1008"/>
      <c r="H35" s="1008"/>
      <c r="I35" s="1008"/>
      <c r="J35" s="1008"/>
      <c r="K35" s="1008"/>
      <c r="L35" s="1008"/>
      <c r="M35" s="1008"/>
      <c r="N35" s="1008"/>
      <c r="O35" s="1008"/>
      <c r="P35" s="1009"/>
      <c r="Q35" s="327"/>
      <c r="R35" s="345">
        <f>R34</f>
        <v>0.5</v>
      </c>
      <c r="S35" s="344"/>
    </row>
    <row r="36" spans="1:21" s="195" customFormat="1" ht="19.5" customHeight="1">
      <c r="A36" s="193" t="s">
        <v>48</v>
      </c>
      <c r="B36" s="989" t="s">
        <v>49</v>
      </c>
      <c r="C36" s="989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  <c r="R36" s="194"/>
    </row>
    <row r="37" spans="1:21" s="160" customFormat="1" ht="18.75" customHeight="1">
      <c r="A37" s="248">
        <v>1</v>
      </c>
      <c r="B37" s="159" t="s">
        <v>58</v>
      </c>
      <c r="C37" s="159"/>
      <c r="D37" s="159"/>
      <c r="E37" s="159"/>
      <c r="F37" s="159"/>
      <c r="G37" s="159"/>
      <c r="K37" s="322"/>
      <c r="L37" s="322"/>
      <c r="M37" s="322"/>
      <c r="N37" s="161"/>
      <c r="O37" s="161"/>
      <c r="P37" s="161"/>
      <c r="Q37" s="161"/>
    </row>
    <row r="38" spans="1:21" s="158" customFormat="1" ht="18.75" customHeight="1">
      <c r="A38" s="248">
        <v>2</v>
      </c>
      <c r="B38" s="159" t="s">
        <v>60</v>
      </c>
      <c r="C38" s="159"/>
      <c r="D38" s="159"/>
      <c r="E38" s="159"/>
      <c r="F38" s="162"/>
      <c r="G38" s="162"/>
      <c r="H38" s="162"/>
      <c r="I38" s="162"/>
      <c r="J38" s="162"/>
      <c r="K38" s="160"/>
      <c r="L38" s="160"/>
      <c r="M38" s="160"/>
    </row>
    <row r="39" spans="1:21" s="158" customFormat="1" ht="42.75" customHeight="1">
      <c r="A39" s="248">
        <v>3</v>
      </c>
      <c r="B39" s="990" t="s">
        <v>280</v>
      </c>
      <c r="C39" s="990"/>
      <c r="D39" s="990"/>
      <c r="E39" s="990"/>
      <c r="F39" s="990"/>
      <c r="G39" s="990"/>
      <c r="H39" s="990"/>
      <c r="I39" s="162"/>
      <c r="J39" s="162"/>
      <c r="K39" s="160"/>
      <c r="L39" s="160"/>
      <c r="M39" s="160"/>
    </row>
    <row r="40" spans="1:21" s="158" customFormat="1" ht="18.75" customHeight="1">
      <c r="A40" s="248">
        <v>4</v>
      </c>
      <c r="B40" s="158" t="s">
        <v>286</v>
      </c>
      <c r="C40" s="159"/>
      <c r="D40" s="159"/>
      <c r="E40" s="159"/>
      <c r="F40" s="162"/>
      <c r="G40" s="162"/>
      <c r="H40" s="162"/>
      <c r="I40" s="162"/>
      <c r="J40" s="162"/>
      <c r="K40" s="160"/>
      <c r="L40" s="160"/>
      <c r="M40" s="160"/>
    </row>
    <row r="41" spans="1:21" s="158" customFormat="1" ht="18.75" customHeight="1">
      <c r="A41" s="248">
        <v>5</v>
      </c>
      <c r="B41" s="159" t="s">
        <v>50</v>
      </c>
      <c r="C41" s="159"/>
      <c r="D41" s="159"/>
      <c r="E41" s="159"/>
      <c r="F41" s="162"/>
      <c r="G41" s="162"/>
      <c r="H41" s="162"/>
      <c r="I41" s="162"/>
      <c r="J41" s="162"/>
      <c r="K41" s="160"/>
      <c r="L41" s="160"/>
      <c r="M41" s="160"/>
    </row>
    <row r="42" spans="1:21" s="160" customFormat="1" ht="18.75" customHeight="1">
      <c r="A42" s="248">
        <v>6</v>
      </c>
      <c r="B42" s="159" t="s">
        <v>281</v>
      </c>
      <c r="C42" s="159"/>
      <c r="D42" s="159"/>
      <c r="E42" s="159"/>
      <c r="F42" s="159"/>
      <c r="G42" s="159"/>
      <c r="K42" s="322"/>
      <c r="L42" s="322"/>
      <c r="M42" s="322"/>
      <c r="N42" s="161"/>
      <c r="O42" s="161"/>
      <c r="P42" s="161"/>
      <c r="Q42" s="161"/>
    </row>
    <row r="43" spans="1:21" s="160" customFormat="1" ht="55.5" customHeight="1">
      <c r="A43" s="248">
        <v>7</v>
      </c>
      <c r="B43" s="991" t="s">
        <v>399</v>
      </c>
      <c r="C43" s="991"/>
      <c r="D43" s="991"/>
      <c r="E43" s="991"/>
      <c r="F43" s="991"/>
      <c r="G43" s="991"/>
      <c r="H43" s="991"/>
      <c r="I43" s="991"/>
      <c r="J43" s="991"/>
      <c r="K43" s="991"/>
      <c r="L43" s="991"/>
      <c r="M43" s="991"/>
      <c r="N43" s="991"/>
      <c r="O43" s="991"/>
      <c r="P43" s="161"/>
      <c r="Q43" s="161"/>
    </row>
    <row r="44" spans="1:21" s="160" customFormat="1" ht="18.75" customHeight="1">
      <c r="A44" s="248">
        <v>8</v>
      </c>
      <c r="B44" s="159" t="s">
        <v>398</v>
      </c>
      <c r="C44" s="159"/>
      <c r="D44" s="159"/>
      <c r="E44" s="159"/>
      <c r="F44" s="159"/>
      <c r="G44" s="159"/>
      <c r="K44" s="322"/>
      <c r="L44" s="322"/>
      <c r="M44" s="322"/>
      <c r="N44" s="161"/>
      <c r="O44" s="161"/>
      <c r="P44" s="161"/>
      <c r="Q44" s="161"/>
    </row>
    <row r="45" spans="1:21" s="160" customFormat="1" ht="18.75" customHeight="1">
      <c r="A45" s="248">
        <v>9</v>
      </c>
      <c r="B45" s="165" t="s">
        <v>61</v>
      </c>
      <c r="C45" s="165"/>
      <c r="D45" s="165"/>
      <c r="E45" s="165"/>
      <c r="F45" s="159"/>
      <c r="G45" s="159"/>
      <c r="K45" s="322"/>
      <c r="L45" s="322"/>
      <c r="M45" s="322"/>
      <c r="N45" s="161"/>
      <c r="O45" s="161"/>
      <c r="P45" s="161"/>
      <c r="Q45" s="161"/>
    </row>
    <row r="46" spans="1:21" s="160" customFormat="1" ht="15" customHeight="1">
      <c r="B46" s="165"/>
      <c r="C46" s="165"/>
      <c r="D46" s="165"/>
      <c r="E46" s="165"/>
      <c r="F46" s="159"/>
      <c r="G46" s="159"/>
      <c r="K46" s="322"/>
      <c r="L46" s="322"/>
      <c r="M46" s="322"/>
      <c r="N46" s="161"/>
      <c r="O46" s="161"/>
      <c r="P46" s="161"/>
      <c r="Q46" s="161"/>
    </row>
    <row r="47" spans="1:21" s="195" customFormat="1" ht="15" customHeight="1">
      <c r="A47" s="159"/>
      <c r="B47" s="159"/>
      <c r="C47" s="159"/>
      <c r="D47" s="159"/>
      <c r="E47" s="159"/>
      <c r="F47" s="196"/>
      <c r="G47" s="196"/>
      <c r="H47" s="160"/>
      <c r="I47" s="160"/>
      <c r="J47" s="160"/>
      <c r="K47" s="209"/>
      <c r="L47" s="209"/>
      <c r="M47" s="209"/>
      <c r="N47" s="197"/>
      <c r="O47" s="197"/>
      <c r="P47" s="197"/>
      <c r="Q47" s="197"/>
      <c r="R47" s="198"/>
    </row>
    <row r="48" spans="1:21" ht="15" customHeight="1">
      <c r="B48" s="145"/>
      <c r="C48" s="145"/>
      <c r="D48" s="145"/>
      <c r="E48" s="145"/>
      <c r="F48" s="137"/>
      <c r="G48" s="137"/>
      <c r="H48" s="138"/>
      <c r="I48" s="139"/>
      <c r="J48" s="139"/>
    </row>
    <row r="49" spans="3:10" ht="15" customHeight="1">
      <c r="C49" s="137"/>
      <c r="D49" s="137"/>
      <c r="E49" s="137"/>
      <c r="F49" s="137"/>
      <c r="G49" s="137"/>
      <c r="H49" s="138"/>
      <c r="I49" s="139"/>
      <c r="J49" s="139"/>
    </row>
    <row r="50" spans="3:10" ht="15" customHeight="1">
      <c r="C50" s="137"/>
      <c r="D50" s="137"/>
      <c r="E50" s="137"/>
      <c r="F50" s="137"/>
      <c r="G50" s="137"/>
      <c r="H50" s="138"/>
      <c r="I50" s="139"/>
      <c r="J50" s="139"/>
    </row>
    <row r="51" spans="3:10" ht="12" customHeight="1">
      <c r="C51" s="137"/>
      <c r="D51" s="137"/>
      <c r="E51" s="137"/>
      <c r="F51" s="137"/>
      <c r="G51" s="137"/>
      <c r="H51" s="138"/>
      <c r="I51" s="139"/>
      <c r="J51" s="139"/>
    </row>
    <row r="52" spans="3:10" ht="12" customHeight="1">
      <c r="C52" s="137"/>
      <c r="D52" s="137"/>
      <c r="E52" s="137"/>
      <c r="F52" s="137"/>
      <c r="G52" s="137"/>
      <c r="H52" s="138"/>
      <c r="I52" s="139"/>
      <c r="J52" s="139"/>
    </row>
    <row r="53" spans="3:10" ht="12" customHeight="1">
      <c r="C53" s="137"/>
      <c r="D53" s="137"/>
      <c r="E53" s="137"/>
      <c r="F53" s="137"/>
      <c r="G53" s="137"/>
      <c r="H53" s="138"/>
      <c r="I53" s="139"/>
      <c r="J53" s="139"/>
    </row>
    <row r="54" spans="3:10" ht="12" customHeight="1">
      <c r="C54" s="137"/>
      <c r="D54" s="137"/>
      <c r="E54" s="137"/>
      <c r="F54" s="137"/>
      <c r="G54" s="137"/>
      <c r="H54" s="138"/>
      <c r="I54" s="139"/>
      <c r="J54" s="139"/>
    </row>
    <row r="55" spans="3:10" ht="12" customHeight="1">
      <c r="C55" s="137"/>
      <c r="D55" s="137"/>
      <c r="E55" s="137"/>
      <c r="F55" s="137"/>
      <c r="G55" s="137"/>
      <c r="H55" s="138"/>
      <c r="I55" s="139"/>
      <c r="J55" s="139"/>
    </row>
    <row r="56" spans="3:10" ht="12" customHeight="1">
      <c r="C56" s="137"/>
      <c r="D56" s="137"/>
      <c r="E56" s="137"/>
      <c r="F56" s="137"/>
      <c r="G56" s="137"/>
      <c r="H56" s="138"/>
      <c r="I56" s="139"/>
      <c r="J56" s="139"/>
    </row>
    <row r="57" spans="3:10" ht="12" customHeight="1">
      <c r="C57" s="137"/>
      <c r="D57" s="137"/>
      <c r="E57" s="137"/>
      <c r="F57" s="137"/>
      <c r="G57" s="137"/>
      <c r="H57" s="138"/>
      <c r="I57" s="139"/>
      <c r="J57" s="139"/>
    </row>
    <row r="58" spans="3:10" ht="12" customHeight="1">
      <c r="C58" s="137"/>
      <c r="D58" s="137"/>
      <c r="E58" s="137"/>
      <c r="F58" s="137"/>
      <c r="G58" s="137"/>
      <c r="H58" s="138"/>
      <c r="I58" s="139"/>
      <c r="J58" s="139"/>
    </row>
    <row r="59" spans="3:10" ht="12" customHeight="1">
      <c r="C59" s="137"/>
      <c r="D59" s="137"/>
      <c r="E59" s="137"/>
      <c r="F59" s="137"/>
      <c r="G59" s="137"/>
      <c r="H59" s="138"/>
      <c r="I59" s="139"/>
      <c r="J59" s="139"/>
    </row>
    <row r="60" spans="3:10" ht="12" customHeight="1">
      <c r="C60" s="137"/>
      <c r="D60" s="137"/>
      <c r="E60" s="137"/>
      <c r="F60" s="137"/>
      <c r="G60" s="137"/>
      <c r="H60" s="138"/>
      <c r="I60" s="139"/>
      <c r="J60" s="139"/>
    </row>
    <row r="61" spans="3:10" ht="12" customHeight="1">
      <c r="C61" s="137"/>
      <c r="D61" s="137"/>
      <c r="E61" s="137"/>
      <c r="F61" s="137"/>
      <c r="G61" s="137"/>
      <c r="H61" s="138"/>
      <c r="I61" s="139"/>
      <c r="J61" s="139"/>
    </row>
    <row r="62" spans="3:10" ht="12" customHeight="1">
      <c r="C62" s="137"/>
      <c r="D62" s="137"/>
      <c r="E62" s="137"/>
      <c r="F62" s="137"/>
      <c r="G62" s="137"/>
      <c r="H62" s="138"/>
      <c r="I62" s="139"/>
      <c r="J62" s="139"/>
    </row>
    <row r="63" spans="3:10" ht="12" customHeight="1">
      <c r="C63" s="137"/>
      <c r="D63" s="137"/>
      <c r="E63" s="137"/>
      <c r="F63" s="137"/>
      <c r="G63" s="137"/>
      <c r="H63" s="138"/>
      <c r="I63" s="139"/>
      <c r="J63" s="139"/>
    </row>
    <row r="64" spans="3:10" ht="12" customHeight="1">
      <c r="C64" s="137"/>
      <c r="D64" s="137"/>
      <c r="E64" s="137"/>
      <c r="F64" s="137"/>
      <c r="G64" s="137"/>
      <c r="H64" s="138"/>
      <c r="I64" s="139"/>
      <c r="J64" s="139"/>
    </row>
    <row r="65" spans="3:10" ht="12" customHeight="1">
      <c r="C65" s="137"/>
      <c r="D65" s="137"/>
      <c r="E65" s="137"/>
      <c r="F65" s="137"/>
      <c r="G65" s="137"/>
      <c r="H65" s="138"/>
      <c r="I65" s="139"/>
      <c r="J65" s="139"/>
    </row>
    <row r="66" spans="3:10" ht="12" customHeight="1">
      <c r="C66" s="137"/>
      <c r="D66" s="137"/>
      <c r="E66" s="137"/>
      <c r="F66" s="137"/>
      <c r="G66" s="137"/>
      <c r="H66" s="138"/>
      <c r="I66" s="139"/>
      <c r="J66" s="139"/>
    </row>
    <row r="67" spans="3:10" ht="12" customHeight="1">
      <c r="C67" s="137"/>
      <c r="D67" s="137"/>
      <c r="E67" s="137"/>
      <c r="F67" s="137"/>
      <c r="G67" s="137"/>
      <c r="H67" s="138"/>
      <c r="I67" s="139"/>
      <c r="J67" s="139"/>
    </row>
    <row r="68" spans="3:10" ht="12" customHeight="1">
      <c r="C68" s="137"/>
      <c r="D68" s="137"/>
      <c r="E68" s="137"/>
      <c r="F68" s="137"/>
      <c r="G68" s="137"/>
      <c r="H68" s="138"/>
      <c r="I68" s="139"/>
      <c r="J68" s="139"/>
    </row>
    <row r="69" spans="3:10" ht="12" customHeight="1">
      <c r="C69" s="137"/>
      <c r="D69" s="137"/>
      <c r="E69" s="137"/>
      <c r="F69" s="137"/>
      <c r="G69" s="137"/>
      <c r="H69" s="138"/>
      <c r="I69" s="139"/>
      <c r="J69" s="139"/>
    </row>
    <row r="70" spans="3:10" ht="12" customHeight="1">
      <c r="C70" s="137"/>
      <c r="D70" s="137"/>
      <c r="E70" s="137"/>
      <c r="F70" s="137"/>
      <c r="G70" s="137"/>
      <c r="H70" s="138"/>
      <c r="I70" s="139"/>
      <c r="J70" s="139"/>
    </row>
    <row r="71" spans="3:10" ht="12" customHeight="1">
      <c r="C71" s="137"/>
      <c r="D71" s="137"/>
      <c r="E71" s="137"/>
      <c r="F71" s="137"/>
      <c r="G71" s="137"/>
      <c r="H71" s="138"/>
      <c r="I71" s="139"/>
      <c r="J71" s="139"/>
    </row>
    <row r="72" spans="3:10" ht="12" customHeight="1">
      <c r="C72" s="137"/>
      <c r="D72" s="137"/>
      <c r="E72" s="137"/>
      <c r="F72" s="137"/>
      <c r="G72" s="137"/>
      <c r="H72" s="138"/>
      <c r="I72" s="139"/>
      <c r="J72" s="139"/>
    </row>
    <row r="73" spans="3:10" ht="12" customHeight="1">
      <c r="C73" s="137"/>
      <c r="D73" s="137"/>
      <c r="E73" s="137"/>
      <c r="F73" s="137"/>
      <c r="G73" s="137"/>
      <c r="H73" s="138"/>
      <c r="I73" s="139"/>
      <c r="J73" s="139"/>
    </row>
    <row r="74" spans="3:10" ht="12" customHeight="1">
      <c r="C74" s="137"/>
      <c r="D74" s="137"/>
      <c r="E74" s="137"/>
      <c r="F74" s="137"/>
      <c r="G74" s="137"/>
      <c r="H74" s="138"/>
      <c r="I74" s="139"/>
      <c r="J74" s="139"/>
    </row>
    <row r="75" spans="3:10" ht="12" customHeight="1">
      <c r="C75" s="137"/>
      <c r="D75" s="137"/>
      <c r="E75" s="137"/>
      <c r="F75" s="137"/>
      <c r="G75" s="137"/>
      <c r="H75" s="138"/>
      <c r="I75" s="139"/>
      <c r="J75" s="139"/>
    </row>
    <row r="76" spans="3:10" ht="12" customHeight="1">
      <c r="C76" s="137"/>
      <c r="D76" s="137"/>
      <c r="E76" s="137"/>
      <c r="F76" s="137"/>
      <c r="G76" s="137"/>
      <c r="H76" s="138"/>
      <c r="I76" s="139"/>
      <c r="J76" s="139"/>
    </row>
    <row r="77" spans="3:10" ht="12" customHeight="1">
      <c r="C77" s="137"/>
      <c r="D77" s="137"/>
      <c r="E77" s="137"/>
      <c r="F77" s="137"/>
      <c r="G77" s="137"/>
      <c r="H77" s="138"/>
      <c r="I77" s="139"/>
      <c r="J77" s="139"/>
    </row>
    <row r="78" spans="3:10" ht="12" customHeight="1">
      <c r="C78" s="137"/>
      <c r="D78" s="137"/>
      <c r="E78" s="137"/>
      <c r="F78" s="137"/>
      <c r="G78" s="137"/>
      <c r="H78" s="138"/>
      <c r="I78" s="139"/>
      <c r="J78" s="139"/>
    </row>
    <row r="79" spans="3:10" ht="12" customHeight="1">
      <c r="C79" s="137"/>
      <c r="D79" s="137"/>
      <c r="E79" s="137"/>
      <c r="F79" s="137"/>
      <c r="G79" s="137"/>
      <c r="H79" s="138"/>
      <c r="I79" s="139"/>
      <c r="J79" s="139"/>
    </row>
    <row r="80" spans="3:10" ht="12" customHeight="1">
      <c r="C80" s="137"/>
      <c r="D80" s="137"/>
      <c r="E80" s="137"/>
      <c r="F80" s="137"/>
      <c r="G80" s="137"/>
      <c r="H80" s="138"/>
      <c r="I80" s="139"/>
      <c r="J80" s="139"/>
    </row>
    <row r="81" spans="3:10" ht="12" customHeight="1">
      <c r="C81" s="137"/>
      <c r="D81" s="137"/>
      <c r="E81" s="137"/>
      <c r="F81" s="137"/>
      <c r="G81" s="137"/>
      <c r="H81" s="138"/>
      <c r="I81" s="139"/>
      <c r="J81" s="139"/>
    </row>
    <row r="82" spans="3:10" ht="12" customHeight="1">
      <c r="C82" s="137"/>
      <c r="D82" s="137"/>
      <c r="E82" s="137"/>
      <c r="F82" s="137"/>
      <c r="G82" s="137"/>
      <c r="H82" s="138"/>
      <c r="I82" s="139"/>
      <c r="J82" s="139"/>
    </row>
    <row r="83" spans="3:10" ht="12" customHeight="1">
      <c r="C83" s="137"/>
      <c r="D83" s="137"/>
      <c r="E83" s="137"/>
      <c r="F83" s="137"/>
      <c r="G83" s="137"/>
      <c r="H83" s="138"/>
      <c r="I83" s="139"/>
      <c r="J83" s="139"/>
    </row>
    <row r="84" spans="3:10" ht="12" customHeight="1">
      <c r="C84" s="137"/>
      <c r="D84" s="137"/>
      <c r="E84" s="137"/>
      <c r="F84" s="137"/>
      <c r="G84" s="137"/>
      <c r="H84" s="138"/>
      <c r="I84" s="139"/>
      <c r="J84" s="139"/>
    </row>
    <row r="85" spans="3:10" ht="12" customHeight="1">
      <c r="C85" s="137"/>
      <c r="D85" s="137"/>
      <c r="E85" s="137"/>
      <c r="F85" s="137"/>
      <c r="G85" s="137"/>
      <c r="H85" s="138"/>
      <c r="I85" s="139"/>
      <c r="J85" s="139"/>
    </row>
    <row r="86" spans="3:10" ht="12" customHeight="1">
      <c r="C86" s="137"/>
      <c r="D86" s="137"/>
      <c r="E86" s="137"/>
      <c r="F86" s="137"/>
      <c r="G86" s="137"/>
      <c r="H86" s="138"/>
      <c r="I86" s="139"/>
      <c r="J86" s="139"/>
    </row>
    <row r="87" spans="3:10" ht="12" customHeight="1">
      <c r="C87" s="137"/>
      <c r="D87" s="137"/>
      <c r="E87" s="137"/>
      <c r="F87" s="137"/>
      <c r="G87" s="137"/>
      <c r="H87" s="138"/>
      <c r="I87" s="139"/>
      <c r="J87" s="139"/>
    </row>
    <row r="88" spans="3:10" ht="12" customHeight="1">
      <c r="C88" s="137"/>
      <c r="D88" s="137"/>
      <c r="E88" s="137"/>
      <c r="F88" s="137"/>
      <c r="G88" s="137"/>
      <c r="H88" s="138"/>
      <c r="I88" s="139"/>
      <c r="J88" s="139"/>
    </row>
    <row r="89" spans="3:10" ht="12" customHeight="1">
      <c r="C89" s="137"/>
      <c r="D89" s="137"/>
      <c r="E89" s="137"/>
      <c r="F89" s="137"/>
      <c r="G89" s="137"/>
      <c r="H89" s="138"/>
      <c r="I89" s="139"/>
      <c r="J89" s="139"/>
    </row>
    <row r="90" spans="3:10" ht="12" customHeight="1">
      <c r="C90" s="137"/>
      <c r="D90" s="137"/>
      <c r="E90" s="137"/>
      <c r="F90" s="137"/>
      <c r="G90" s="137"/>
      <c r="H90" s="138"/>
      <c r="I90" s="139"/>
      <c r="J90" s="139"/>
    </row>
    <row r="91" spans="3:10" ht="12" customHeight="1">
      <c r="C91" s="137"/>
      <c r="D91" s="137"/>
      <c r="E91" s="137"/>
      <c r="F91" s="137"/>
      <c r="G91" s="137"/>
      <c r="H91" s="138"/>
      <c r="I91" s="139"/>
      <c r="J91" s="139"/>
    </row>
    <row r="92" spans="3:10" ht="12" customHeight="1">
      <c r="C92" s="137"/>
      <c r="D92" s="137"/>
      <c r="E92" s="137"/>
      <c r="F92" s="137"/>
      <c r="G92" s="137"/>
      <c r="H92" s="138"/>
      <c r="I92" s="139"/>
      <c r="J92" s="139"/>
    </row>
    <row r="93" spans="3:10" ht="12" customHeight="1">
      <c r="C93" s="137"/>
      <c r="D93" s="137"/>
      <c r="E93" s="137"/>
      <c r="F93" s="137"/>
      <c r="G93" s="137"/>
      <c r="H93" s="138"/>
      <c r="I93" s="139"/>
      <c r="J93" s="139"/>
    </row>
    <row r="94" spans="3:10" ht="12" customHeight="1">
      <c r="C94" s="137"/>
      <c r="D94" s="137"/>
      <c r="E94" s="137"/>
      <c r="F94" s="137"/>
      <c r="G94" s="137"/>
      <c r="H94" s="138"/>
      <c r="I94" s="139"/>
      <c r="J94" s="139"/>
    </row>
    <row r="95" spans="3:10" ht="12" customHeight="1">
      <c r="C95" s="137"/>
      <c r="D95" s="137"/>
      <c r="E95" s="137"/>
      <c r="F95" s="137"/>
      <c r="G95" s="137"/>
      <c r="H95" s="138"/>
      <c r="I95" s="139"/>
      <c r="J95" s="139"/>
    </row>
    <row r="96" spans="3:10" ht="12" customHeight="1">
      <c r="C96" s="137"/>
      <c r="D96" s="137"/>
      <c r="E96" s="137"/>
      <c r="F96" s="137"/>
      <c r="G96" s="137"/>
      <c r="H96" s="138"/>
      <c r="I96" s="139"/>
      <c r="J96" s="139"/>
    </row>
    <row r="97" spans="3:10" ht="12" customHeight="1">
      <c r="C97" s="137"/>
      <c r="D97" s="137"/>
      <c r="E97" s="137"/>
      <c r="F97" s="137"/>
      <c r="G97" s="137"/>
      <c r="H97" s="138"/>
      <c r="I97" s="139"/>
      <c r="J97" s="139"/>
    </row>
    <row r="98" spans="3:10" ht="12" customHeight="1">
      <c r="C98" s="137"/>
      <c r="D98" s="137"/>
      <c r="E98" s="137"/>
      <c r="F98" s="137"/>
      <c r="G98" s="137"/>
      <c r="H98" s="138"/>
      <c r="I98" s="139"/>
      <c r="J98" s="139"/>
    </row>
    <row r="99" spans="3:10" ht="12" customHeight="1">
      <c r="C99" s="137"/>
      <c r="D99" s="137"/>
      <c r="E99" s="137"/>
      <c r="F99" s="137"/>
      <c r="G99" s="137"/>
      <c r="H99" s="138"/>
      <c r="I99" s="139"/>
      <c r="J99" s="139"/>
    </row>
    <row r="100" spans="3:10" ht="12" customHeight="1">
      <c r="C100" s="137"/>
      <c r="D100" s="137"/>
      <c r="E100" s="137"/>
      <c r="F100" s="137"/>
      <c r="G100" s="137"/>
      <c r="H100" s="138"/>
      <c r="I100" s="139"/>
      <c r="J100" s="139"/>
    </row>
    <row r="101" spans="3:10" ht="12" customHeight="1">
      <c r="C101" s="137"/>
      <c r="D101" s="137"/>
      <c r="E101" s="137"/>
      <c r="F101" s="137"/>
      <c r="G101" s="137"/>
      <c r="H101" s="138"/>
      <c r="I101" s="139"/>
      <c r="J101" s="139"/>
    </row>
    <row r="102" spans="3:10" ht="12" customHeight="1">
      <c r="C102" s="137"/>
      <c r="D102" s="137"/>
      <c r="E102" s="137"/>
      <c r="F102" s="137"/>
      <c r="G102" s="137"/>
      <c r="H102" s="138"/>
      <c r="I102" s="139"/>
      <c r="J102" s="139"/>
    </row>
    <row r="103" spans="3:10" ht="12" customHeight="1">
      <c r="C103" s="137"/>
      <c r="D103" s="137"/>
      <c r="E103" s="137"/>
      <c r="F103" s="137"/>
      <c r="G103" s="137"/>
      <c r="H103" s="138"/>
      <c r="I103" s="139"/>
      <c r="J103" s="139"/>
    </row>
    <row r="104" spans="3:10" ht="12" customHeight="1">
      <c r="C104" s="137"/>
      <c r="D104" s="137"/>
      <c r="E104" s="137"/>
      <c r="F104" s="137"/>
      <c r="G104" s="137"/>
      <c r="H104" s="138"/>
      <c r="I104" s="139"/>
      <c r="J104" s="139"/>
    </row>
    <row r="105" spans="3:10" ht="12" customHeight="1">
      <c r="C105" s="137"/>
      <c r="D105" s="137"/>
      <c r="E105" s="137"/>
      <c r="F105" s="137"/>
      <c r="G105" s="137"/>
      <c r="H105" s="138"/>
      <c r="I105" s="139"/>
      <c r="J105" s="139"/>
    </row>
    <row r="106" spans="3:10" ht="12" customHeight="1">
      <c r="C106" s="137"/>
      <c r="D106" s="137"/>
      <c r="E106" s="137"/>
      <c r="F106" s="137"/>
      <c r="G106" s="137"/>
      <c r="H106" s="138"/>
      <c r="I106" s="139"/>
      <c r="J106" s="139"/>
    </row>
    <row r="107" spans="3:10" ht="12" customHeight="1">
      <c r="C107" s="137"/>
      <c r="D107" s="137"/>
      <c r="E107" s="137"/>
      <c r="F107" s="137"/>
      <c r="G107" s="137"/>
      <c r="H107" s="138"/>
      <c r="I107" s="139"/>
      <c r="J107" s="139"/>
    </row>
    <row r="108" spans="3:10" ht="12" customHeight="1">
      <c r="C108" s="137"/>
      <c r="D108" s="137"/>
      <c r="E108" s="137"/>
      <c r="F108" s="137"/>
      <c r="G108" s="137"/>
      <c r="H108" s="138"/>
      <c r="I108" s="139"/>
      <c r="J108" s="139"/>
    </row>
    <row r="109" spans="3:10" ht="12" customHeight="1">
      <c r="C109" s="137"/>
      <c r="D109" s="137"/>
      <c r="E109" s="137"/>
      <c r="F109" s="137"/>
      <c r="G109" s="137"/>
      <c r="H109" s="138"/>
      <c r="I109" s="139"/>
      <c r="J109" s="139"/>
    </row>
    <row r="110" spans="3:10" ht="12" customHeight="1">
      <c r="C110" s="137"/>
      <c r="D110" s="137"/>
      <c r="E110" s="137"/>
      <c r="F110" s="137"/>
      <c r="G110" s="137"/>
      <c r="H110" s="138"/>
      <c r="I110" s="139"/>
      <c r="J110" s="139"/>
    </row>
    <row r="111" spans="3:10" ht="12" customHeight="1">
      <c r="C111" s="137"/>
      <c r="D111" s="137"/>
      <c r="E111" s="137"/>
      <c r="F111" s="137"/>
      <c r="G111" s="137"/>
      <c r="H111" s="138"/>
      <c r="I111" s="139"/>
      <c r="J111" s="139"/>
    </row>
    <row r="112" spans="3:10" ht="12" customHeight="1">
      <c r="C112" s="137"/>
      <c r="D112" s="137"/>
      <c r="E112" s="137"/>
      <c r="F112" s="137"/>
      <c r="G112" s="137"/>
      <c r="H112" s="138"/>
      <c r="I112" s="139"/>
      <c r="J112" s="139"/>
    </row>
    <row r="113" spans="3:10" ht="12" customHeight="1">
      <c r="C113" s="137"/>
      <c r="D113" s="137"/>
      <c r="E113" s="137"/>
      <c r="F113" s="137"/>
      <c r="G113" s="137"/>
      <c r="H113" s="138"/>
      <c r="I113" s="139"/>
      <c r="J113" s="139"/>
    </row>
    <row r="114" spans="3:10" ht="12" customHeight="1">
      <c r="C114" s="137"/>
      <c r="D114" s="137"/>
      <c r="E114" s="137"/>
      <c r="F114" s="137"/>
      <c r="G114" s="137"/>
      <c r="H114" s="138"/>
      <c r="I114" s="139"/>
      <c r="J114" s="139"/>
    </row>
    <row r="115" spans="3:10" ht="12" customHeight="1">
      <c r="C115" s="137"/>
      <c r="D115" s="137"/>
      <c r="E115" s="137"/>
      <c r="F115" s="137"/>
      <c r="G115" s="137"/>
      <c r="H115" s="138"/>
      <c r="I115" s="139"/>
      <c r="J115" s="139"/>
    </row>
    <row r="116" spans="3:10" ht="12" customHeight="1">
      <c r="C116" s="137"/>
      <c r="D116" s="137"/>
      <c r="E116" s="137"/>
      <c r="F116" s="137"/>
      <c r="G116" s="137"/>
      <c r="H116" s="138"/>
      <c r="I116" s="139"/>
      <c r="J116" s="139"/>
    </row>
    <row r="117" spans="3:10" ht="12" customHeight="1">
      <c r="C117" s="137"/>
      <c r="D117" s="137"/>
      <c r="E117" s="137"/>
      <c r="F117" s="137"/>
      <c r="G117" s="137"/>
      <c r="H117" s="138"/>
      <c r="I117" s="139"/>
      <c r="J117" s="139"/>
    </row>
    <row r="118" spans="3:10" ht="12" customHeight="1">
      <c r="C118" s="137"/>
      <c r="D118" s="137"/>
      <c r="E118" s="137"/>
      <c r="F118" s="137"/>
      <c r="G118" s="137"/>
      <c r="H118" s="138"/>
      <c r="I118" s="139"/>
      <c r="J118" s="139"/>
    </row>
    <row r="119" spans="3:10" ht="12" customHeight="1">
      <c r="C119" s="137"/>
      <c r="D119" s="137"/>
      <c r="E119" s="137"/>
      <c r="F119" s="137"/>
      <c r="G119" s="137"/>
      <c r="H119" s="138"/>
      <c r="I119" s="139"/>
      <c r="J119" s="139"/>
    </row>
    <row r="120" spans="3:10" ht="12" customHeight="1">
      <c r="C120" s="137"/>
      <c r="D120" s="137"/>
      <c r="E120" s="137"/>
      <c r="F120" s="137"/>
      <c r="G120" s="137"/>
      <c r="H120" s="138"/>
      <c r="I120" s="139"/>
      <c r="J120" s="139"/>
    </row>
    <row r="121" spans="3:10" ht="12" customHeight="1">
      <c r="C121" s="137"/>
      <c r="D121" s="137"/>
      <c r="E121" s="137"/>
      <c r="F121" s="137"/>
      <c r="G121" s="137"/>
      <c r="H121" s="138"/>
      <c r="I121" s="139"/>
      <c r="J121" s="139"/>
    </row>
    <row r="122" spans="3:10" ht="12" customHeight="1">
      <c r="C122" s="137"/>
      <c r="D122" s="137"/>
      <c r="E122" s="137"/>
      <c r="F122" s="137"/>
      <c r="G122" s="137"/>
      <c r="H122" s="138"/>
      <c r="I122" s="139"/>
      <c r="J122" s="139"/>
    </row>
    <row r="123" spans="3:10" ht="12" customHeight="1">
      <c r="C123" s="137"/>
      <c r="D123" s="137"/>
      <c r="E123" s="137"/>
      <c r="F123" s="137"/>
      <c r="G123" s="137"/>
      <c r="H123" s="138"/>
      <c r="I123" s="139"/>
      <c r="J123" s="139"/>
    </row>
    <row r="124" spans="3:10" ht="12" customHeight="1">
      <c r="C124" s="137"/>
      <c r="D124" s="137"/>
      <c r="E124" s="137"/>
      <c r="F124" s="137"/>
      <c r="G124" s="137"/>
      <c r="H124" s="138"/>
      <c r="I124" s="139"/>
      <c r="J124" s="139"/>
    </row>
    <row r="125" spans="3:10" ht="12" customHeight="1">
      <c r="C125" s="137"/>
      <c r="D125" s="137"/>
      <c r="E125" s="137"/>
      <c r="F125" s="137"/>
      <c r="G125" s="137"/>
      <c r="H125" s="138"/>
      <c r="I125" s="139"/>
      <c r="J125" s="139"/>
    </row>
    <row r="126" spans="3:10" ht="12" customHeight="1">
      <c r="C126" s="137"/>
      <c r="D126" s="137"/>
      <c r="E126" s="137"/>
      <c r="F126" s="137"/>
      <c r="G126" s="137"/>
      <c r="H126" s="138"/>
      <c r="I126" s="139"/>
      <c r="J126" s="139"/>
    </row>
    <row r="127" spans="3:10" ht="12" customHeight="1">
      <c r="C127" s="137"/>
      <c r="D127" s="137"/>
      <c r="E127" s="137"/>
      <c r="F127" s="137"/>
      <c r="G127" s="137"/>
      <c r="H127" s="138"/>
      <c r="I127" s="139"/>
      <c r="J127" s="139"/>
    </row>
    <row r="128" spans="3:10" ht="12" customHeight="1">
      <c r="C128" s="137"/>
      <c r="D128" s="137"/>
      <c r="E128" s="137"/>
      <c r="F128" s="137"/>
      <c r="G128" s="137"/>
      <c r="H128" s="138"/>
      <c r="I128" s="139"/>
      <c r="J128" s="139"/>
    </row>
    <row r="129" spans="3:10" ht="12" customHeight="1">
      <c r="C129" s="137"/>
      <c r="D129" s="137"/>
      <c r="E129" s="137"/>
      <c r="F129" s="137"/>
      <c r="G129" s="137"/>
      <c r="H129" s="138"/>
      <c r="I129" s="139"/>
      <c r="J129" s="139"/>
    </row>
    <row r="130" spans="3:10" ht="12" customHeight="1">
      <c r="C130" s="137"/>
      <c r="D130" s="137"/>
      <c r="E130" s="137"/>
      <c r="F130" s="137"/>
      <c r="G130" s="137"/>
      <c r="H130" s="138"/>
      <c r="I130" s="139"/>
      <c r="J130" s="139"/>
    </row>
    <row r="131" spans="3:10" ht="12" customHeight="1">
      <c r="C131" s="137"/>
      <c r="D131" s="137"/>
      <c r="E131" s="137"/>
      <c r="F131" s="137"/>
      <c r="G131" s="137"/>
      <c r="H131" s="138"/>
      <c r="I131" s="139"/>
      <c r="J131" s="139"/>
    </row>
    <row r="132" spans="3:10" ht="12" customHeight="1">
      <c r="C132" s="137"/>
      <c r="D132" s="137"/>
      <c r="E132" s="137"/>
      <c r="F132" s="137"/>
      <c r="G132" s="137"/>
      <c r="H132" s="138"/>
      <c r="I132" s="139"/>
      <c r="J132" s="139"/>
    </row>
    <row r="133" spans="3:10" ht="12" customHeight="1">
      <c r="C133" s="137"/>
      <c r="D133" s="137"/>
      <c r="E133" s="137"/>
      <c r="F133" s="137"/>
      <c r="G133" s="137"/>
      <c r="H133" s="138"/>
      <c r="I133" s="139"/>
      <c r="J133" s="139"/>
    </row>
    <row r="134" spans="3:10" ht="12" customHeight="1">
      <c r="C134" s="137"/>
      <c r="D134" s="137"/>
      <c r="E134" s="137"/>
      <c r="F134" s="137"/>
      <c r="G134" s="137"/>
      <c r="H134" s="138"/>
      <c r="I134" s="139"/>
      <c r="J134" s="139"/>
    </row>
    <row r="135" spans="3:10" ht="12" customHeight="1">
      <c r="C135" s="137"/>
      <c r="D135" s="137"/>
      <c r="E135" s="137"/>
      <c r="F135" s="137"/>
      <c r="G135" s="137"/>
      <c r="H135" s="138"/>
      <c r="I135" s="139"/>
      <c r="J135" s="139"/>
    </row>
    <row r="136" spans="3:10" ht="12" customHeight="1">
      <c r="C136" s="137"/>
      <c r="D136" s="137"/>
      <c r="E136" s="137"/>
      <c r="F136" s="137"/>
      <c r="G136" s="137"/>
      <c r="H136" s="138"/>
      <c r="I136" s="139"/>
      <c r="J136" s="139"/>
    </row>
    <row r="137" spans="3:10" ht="12" customHeight="1">
      <c r="C137" s="137"/>
      <c r="D137" s="137"/>
      <c r="E137" s="137"/>
      <c r="F137" s="137"/>
      <c r="G137" s="137"/>
      <c r="H137" s="138"/>
      <c r="I137" s="139"/>
      <c r="J137" s="139"/>
    </row>
    <row r="138" spans="3:10" ht="12" customHeight="1">
      <c r="C138" s="137"/>
      <c r="D138" s="137"/>
      <c r="E138" s="137"/>
      <c r="F138" s="137"/>
      <c r="G138" s="137"/>
      <c r="H138" s="138"/>
      <c r="I138" s="139"/>
      <c r="J138" s="139"/>
    </row>
    <row r="139" spans="3:10" ht="12" customHeight="1">
      <c r="C139" s="137"/>
      <c r="D139" s="137"/>
      <c r="E139" s="137"/>
      <c r="F139" s="137"/>
      <c r="G139" s="137"/>
      <c r="H139" s="138"/>
      <c r="I139" s="139"/>
      <c r="J139" s="139"/>
    </row>
    <row r="140" spans="3:10" ht="12" customHeight="1">
      <c r="C140" s="137"/>
      <c r="D140" s="137"/>
      <c r="E140" s="137"/>
      <c r="F140" s="137"/>
      <c r="G140" s="137"/>
      <c r="H140" s="138"/>
      <c r="I140" s="139"/>
      <c r="J140" s="139"/>
    </row>
    <row r="141" spans="3:10" ht="12" customHeight="1">
      <c r="C141" s="137"/>
      <c r="D141" s="137"/>
      <c r="E141" s="137"/>
      <c r="F141" s="137"/>
      <c r="G141" s="137"/>
      <c r="H141" s="138"/>
      <c r="I141" s="139"/>
      <c r="J141" s="139"/>
    </row>
    <row r="142" spans="3:10" ht="12" customHeight="1">
      <c r="C142" s="137"/>
      <c r="D142" s="137"/>
      <c r="E142" s="137"/>
      <c r="F142" s="137"/>
      <c r="G142" s="137"/>
      <c r="H142" s="138"/>
      <c r="I142" s="139"/>
      <c r="J142" s="139"/>
    </row>
    <row r="143" spans="3:10" ht="12" customHeight="1">
      <c r="C143" s="137"/>
      <c r="D143" s="137"/>
      <c r="E143" s="137"/>
      <c r="F143" s="137"/>
      <c r="G143" s="137"/>
      <c r="H143" s="138"/>
      <c r="I143" s="139"/>
      <c r="J143" s="139"/>
    </row>
    <row r="144" spans="3:10" ht="12" customHeight="1">
      <c r="C144" s="137"/>
      <c r="D144" s="137"/>
      <c r="E144" s="137"/>
      <c r="F144" s="137"/>
      <c r="G144" s="137"/>
      <c r="H144" s="138"/>
      <c r="I144" s="139"/>
      <c r="J144" s="139"/>
    </row>
    <row r="145" spans="3:10" ht="12" customHeight="1">
      <c r="C145" s="137"/>
      <c r="D145" s="137"/>
      <c r="E145" s="137"/>
      <c r="F145" s="137"/>
      <c r="G145" s="137"/>
      <c r="H145" s="138"/>
      <c r="I145" s="139"/>
      <c r="J145" s="139"/>
    </row>
    <row r="146" spans="3:10" ht="12" customHeight="1">
      <c r="C146" s="137"/>
      <c r="D146" s="137"/>
      <c r="E146" s="137"/>
      <c r="F146" s="137"/>
      <c r="G146" s="137"/>
      <c r="H146" s="138"/>
      <c r="I146" s="139"/>
      <c r="J146" s="139"/>
    </row>
    <row r="147" spans="3:10" ht="12" customHeight="1">
      <c r="C147" s="137"/>
      <c r="D147" s="137"/>
      <c r="E147" s="137"/>
      <c r="F147" s="137"/>
      <c r="G147" s="137"/>
      <c r="H147" s="138"/>
      <c r="I147" s="139"/>
      <c r="J147" s="139"/>
    </row>
    <row r="148" spans="3:10" ht="12" customHeight="1">
      <c r="C148" s="137"/>
      <c r="D148" s="137"/>
      <c r="E148" s="137"/>
      <c r="F148" s="137"/>
      <c r="G148" s="137"/>
      <c r="H148" s="138"/>
      <c r="I148" s="139"/>
      <c r="J148" s="139"/>
    </row>
    <row r="149" spans="3:10" ht="12" customHeight="1">
      <c r="C149" s="137"/>
      <c r="D149" s="137"/>
      <c r="E149" s="137"/>
      <c r="F149" s="137"/>
      <c r="G149" s="137"/>
      <c r="H149" s="138"/>
      <c r="I149" s="139"/>
      <c r="J149" s="139"/>
    </row>
    <row r="150" spans="3:10" ht="12" customHeight="1">
      <c r="C150" s="137"/>
      <c r="D150" s="137"/>
      <c r="E150" s="137"/>
      <c r="F150" s="137"/>
      <c r="G150" s="137"/>
      <c r="H150" s="138"/>
      <c r="I150" s="139"/>
      <c r="J150" s="139"/>
    </row>
  </sheetData>
  <mergeCells count="20">
    <mergeCell ref="B43:O43"/>
    <mergeCell ref="I4:K4"/>
    <mergeCell ref="N4:N5"/>
    <mergeCell ref="O4:O5"/>
    <mergeCell ref="B4:B5"/>
    <mergeCell ref="C4:C5"/>
    <mergeCell ref="D4:D5"/>
    <mergeCell ref="E4:E5"/>
    <mergeCell ref="F4:H4"/>
    <mergeCell ref="B39:H39"/>
    <mergeCell ref="B36:Q36"/>
    <mergeCell ref="Q4:Q5"/>
    <mergeCell ref="A35:P35"/>
    <mergeCell ref="L4:L5"/>
    <mergeCell ref="M4:M5"/>
    <mergeCell ref="S4:S5"/>
    <mergeCell ref="A34:P34"/>
    <mergeCell ref="R4:R5"/>
    <mergeCell ref="A4:A5"/>
    <mergeCell ref="P4:P5"/>
  </mergeCells>
  <phoneticPr fontId="2" type="noConversion"/>
  <pageMargins left="0.74803149606299213" right="0.74803149606299213" top="0.63" bottom="0.65" header="0.51181102362204722" footer="0.51181102362204722"/>
  <pageSetup paperSize="9" scale="52" fitToHeight="3" orientation="landscape" r:id="rId1"/>
  <headerFooter alignWithMargins="0"/>
  <rowBreaks count="1" manualBreakCount="1">
    <brk id="30" max="1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T124"/>
  <sheetViews>
    <sheetView view="pageBreakPreview" zoomScale="85" zoomScaleNormal="85" zoomScaleSheetLayoutView="85" workbookViewId="0">
      <pane xSplit="3" topLeftCell="D1" activePane="topRight" state="frozen"/>
      <selection activeCell="J9" sqref="J9"/>
      <selection pane="topRight" activeCell="A4" sqref="A4:XFD9"/>
    </sheetView>
  </sheetViews>
  <sheetFormatPr defaultRowHeight="12" customHeight="1"/>
  <cols>
    <col min="1" max="1" width="3.77734375" style="136" customWidth="1"/>
    <col min="2" max="2" width="28.88671875" style="132" customWidth="1"/>
    <col min="3" max="3" width="28.5546875" style="132" customWidth="1"/>
    <col min="4" max="4" width="10.5546875" style="132" customWidth="1"/>
    <col min="5" max="5" width="9.6640625" style="132" bestFit="1" customWidth="1"/>
    <col min="6" max="7" width="10.33203125" style="132" bestFit="1" customWidth="1"/>
    <col min="8" max="8" width="9.6640625" style="133" bestFit="1" customWidth="1"/>
    <col min="9" max="9" width="10.33203125" style="140" bestFit="1" customWidth="1"/>
    <col min="10" max="10" width="10.109375" style="140" bestFit="1" customWidth="1"/>
    <col min="11" max="11" width="9.5546875" style="163" customWidth="1"/>
    <col min="12" max="12" width="8.44140625" style="135" bestFit="1" customWidth="1"/>
    <col min="13" max="13" width="8.44140625" style="135" customWidth="1"/>
    <col min="14" max="14" width="7.88671875" style="135" customWidth="1"/>
    <col min="15" max="15" width="6.88671875" style="135" bestFit="1" customWidth="1"/>
    <col min="16" max="16" width="8.21875" style="130" bestFit="1" customWidth="1"/>
    <col min="17" max="17" width="9.44140625" style="127" customWidth="1"/>
    <col min="18" max="18" width="8.88671875" style="127"/>
    <col min="19" max="19" width="9.77734375" style="127" customWidth="1"/>
    <col min="20" max="16384" width="8.88671875" style="127"/>
  </cols>
  <sheetData>
    <row r="1" spans="1:20" s="124" customFormat="1" ht="50.25" customHeight="1">
      <c r="A1" s="320"/>
      <c r="B1" s="515" t="s">
        <v>627</v>
      </c>
      <c r="C1" s="325" t="s">
        <v>690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s="123" customFormat="1" ht="9" customHeight="1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</row>
    <row r="3" spans="1:20" s="188" customFormat="1" ht="9.75" customHeight="1">
      <c r="A3" s="568"/>
      <c r="B3" s="568"/>
      <c r="C3" s="568"/>
      <c r="D3" s="568"/>
      <c r="E3" s="568"/>
      <c r="F3" s="568"/>
      <c r="G3" s="568"/>
      <c r="H3" s="569"/>
      <c r="I3" s="187"/>
      <c r="J3" s="187"/>
      <c r="K3" s="187"/>
      <c r="L3" s="187"/>
      <c r="M3" s="187"/>
      <c r="N3" s="187"/>
      <c r="O3" s="187"/>
    </row>
    <row r="4" spans="1:20" s="123" customFormat="1" ht="33.75" customHeight="1" thickBot="1">
      <c r="A4" s="320"/>
      <c r="B4" s="321" t="s">
        <v>32</v>
      </c>
      <c r="C4" s="320"/>
      <c r="D4" s="320"/>
      <c r="E4" s="321"/>
      <c r="F4" s="320"/>
      <c r="G4" s="320"/>
      <c r="H4" s="120"/>
      <c r="I4" s="120"/>
      <c r="J4" s="120"/>
      <c r="K4" s="280"/>
      <c r="L4" s="120"/>
      <c r="M4" s="120"/>
      <c r="N4" s="120"/>
      <c r="O4" s="120"/>
      <c r="P4" s="121"/>
    </row>
    <row r="5" spans="1:20" s="125" customFormat="1" ht="33" customHeight="1">
      <c r="A5" s="992" t="s">
        <v>25</v>
      </c>
      <c r="B5" s="994" t="s">
        <v>26</v>
      </c>
      <c r="C5" s="1005" t="s">
        <v>27</v>
      </c>
      <c r="D5" s="1005" t="s">
        <v>28</v>
      </c>
      <c r="E5" s="1003" t="s">
        <v>33</v>
      </c>
      <c r="F5" s="996" t="s">
        <v>34</v>
      </c>
      <c r="G5" s="997"/>
      <c r="H5" s="998"/>
      <c r="I5" s="997" t="s">
        <v>35</v>
      </c>
      <c r="J5" s="997"/>
      <c r="K5" s="998"/>
      <c r="L5" s="999" t="s">
        <v>743</v>
      </c>
      <c r="M5" s="999" t="s">
        <v>744</v>
      </c>
      <c r="N5" s="999" t="s">
        <v>36</v>
      </c>
      <c r="O5" s="1003" t="s">
        <v>37</v>
      </c>
      <c r="P5" s="1001" t="s">
        <v>38</v>
      </c>
      <c r="Q5" s="1001" t="s">
        <v>39</v>
      </c>
      <c r="R5" s="1001" t="s">
        <v>40</v>
      </c>
      <c r="S5" s="984" t="s">
        <v>30</v>
      </c>
    </row>
    <row r="6" spans="1:20" s="125" customFormat="1" ht="33" customHeight="1">
      <c r="A6" s="993"/>
      <c r="B6" s="995"/>
      <c r="C6" s="1006"/>
      <c r="D6" s="1006"/>
      <c r="E6" s="1004"/>
      <c r="F6" s="753" t="s">
        <v>41</v>
      </c>
      <c r="G6" s="753" t="s">
        <v>42</v>
      </c>
      <c r="H6" s="754" t="s">
        <v>43</v>
      </c>
      <c r="I6" s="753" t="s">
        <v>44</v>
      </c>
      <c r="J6" s="753" t="s">
        <v>45</v>
      </c>
      <c r="K6" s="754" t="s">
        <v>46</v>
      </c>
      <c r="L6" s="1000"/>
      <c r="M6" s="1000"/>
      <c r="N6" s="1000"/>
      <c r="O6" s="1004"/>
      <c r="P6" s="1002"/>
      <c r="Q6" s="1002"/>
      <c r="R6" s="1002"/>
      <c r="S6" s="985"/>
    </row>
    <row r="7" spans="1:20" s="186" customFormat="1" ht="60.75" customHeight="1">
      <c r="A7" s="189">
        <v>1</v>
      </c>
      <c r="B7" s="190" t="s">
        <v>458</v>
      </c>
      <c r="C7" s="512" t="s">
        <v>456</v>
      </c>
      <c r="D7" s="199">
        <v>0</v>
      </c>
      <c r="E7" s="191">
        <v>10379</v>
      </c>
      <c r="F7" s="513">
        <v>37474</v>
      </c>
      <c r="G7" s="513">
        <v>40630</v>
      </c>
      <c r="H7" s="625">
        <f>IF(G7-F7+1&gt;=2*365,2*365,G7-F7+1)</f>
        <v>730</v>
      </c>
      <c r="I7" s="513">
        <v>37474</v>
      </c>
      <c r="J7" s="513">
        <v>39101</v>
      </c>
      <c r="K7" s="625">
        <f>IF(J7-I7+1&gt;=2*365,2*365,J7-I7+1)</f>
        <v>730</v>
      </c>
      <c r="L7" s="796">
        <v>1600000</v>
      </c>
      <c r="M7" s="625">
        <f>(IF(L7&gt;=3300000,3,IF(L7&gt;=1650000,2,1)))</f>
        <v>1</v>
      </c>
      <c r="N7" s="626" t="s">
        <v>457</v>
      </c>
      <c r="O7" s="191">
        <f>189+113+91+54</f>
        <v>447</v>
      </c>
      <c r="P7" s="635">
        <f>E7-O7</f>
        <v>9932</v>
      </c>
      <c r="Q7" s="797">
        <f>P7/(배점기준!$G$9/1000)*M7</f>
        <v>6.5959214466399123</v>
      </c>
      <c r="R7" s="637">
        <f>(IF(P7&lt;231,0,IF(Q7&gt;=4,6,IF(Q7&gt;=3.5,5,IF(Q7&gt;=3,4,IF(Q7&gt;=2.5,3,IF(Q7&gt;=2,2,IF(Q7&gt;=1.5,1.5,IF(Q7&gt;=1,1,IF(Q7&gt;=0.5,0.5,0.25))))))))))*K7/H7</f>
        <v>6</v>
      </c>
      <c r="S7" s="798"/>
      <c r="T7" s="181"/>
    </row>
    <row r="8" spans="1:20" s="186" customFormat="1" ht="41.25" customHeight="1">
      <c r="A8" s="986" t="s">
        <v>31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7"/>
      <c r="N8" s="987"/>
      <c r="O8" s="987"/>
      <c r="P8" s="987"/>
      <c r="Q8" s="987"/>
      <c r="R8" s="346">
        <f>SUM(R7:R7)</f>
        <v>6</v>
      </c>
      <c r="S8" s="799"/>
    </row>
    <row r="9" spans="1:20" s="188" customFormat="1" ht="41.25" customHeight="1" thickBot="1">
      <c r="A9" s="1010" t="s">
        <v>47</v>
      </c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345">
        <f>R8</f>
        <v>6</v>
      </c>
      <c r="S9" s="800"/>
    </row>
    <row r="10" spans="1:20" s="195" customFormat="1" ht="19.5" customHeight="1">
      <c r="A10" s="193" t="s">
        <v>48</v>
      </c>
      <c r="B10" s="989" t="s">
        <v>49</v>
      </c>
      <c r="C10" s="989"/>
      <c r="D10" s="989"/>
      <c r="E10" s="989"/>
      <c r="F10" s="989"/>
      <c r="G10" s="989"/>
      <c r="H10" s="989"/>
      <c r="I10" s="989"/>
      <c r="J10" s="989"/>
      <c r="K10" s="989"/>
      <c r="L10" s="989"/>
      <c r="M10" s="989"/>
      <c r="N10" s="989"/>
      <c r="O10" s="989"/>
      <c r="P10" s="194"/>
    </row>
    <row r="11" spans="1:20" s="160" customFormat="1" ht="18.75" customHeight="1">
      <c r="A11" s="248">
        <v>1</v>
      </c>
      <c r="B11" s="159" t="s">
        <v>58</v>
      </c>
      <c r="C11" s="159"/>
      <c r="D11" s="159"/>
      <c r="E11" s="159"/>
      <c r="F11" s="159"/>
      <c r="G11" s="159"/>
      <c r="K11" s="322"/>
      <c r="L11" s="161"/>
      <c r="M11" s="161"/>
      <c r="N11" s="161"/>
      <c r="O11" s="161"/>
    </row>
    <row r="12" spans="1:20" s="158" customFormat="1" ht="18.75" customHeight="1">
      <c r="A12" s="248">
        <v>2</v>
      </c>
      <c r="B12" s="159" t="s">
        <v>60</v>
      </c>
      <c r="C12" s="159"/>
      <c r="D12" s="159"/>
      <c r="E12" s="159"/>
      <c r="F12" s="162"/>
      <c r="G12" s="162"/>
      <c r="H12" s="162"/>
      <c r="I12" s="162"/>
      <c r="J12" s="162"/>
      <c r="K12" s="160"/>
    </row>
    <row r="13" spans="1:20" s="158" customFormat="1" ht="42.75" customHeight="1">
      <c r="A13" s="248">
        <v>3</v>
      </c>
      <c r="B13" s="990" t="s">
        <v>280</v>
      </c>
      <c r="C13" s="990"/>
      <c r="D13" s="990"/>
      <c r="E13" s="990"/>
      <c r="F13" s="990"/>
      <c r="G13" s="990"/>
      <c r="H13" s="990"/>
      <c r="I13" s="162"/>
      <c r="J13" s="162"/>
      <c r="K13" s="160"/>
    </row>
    <row r="14" spans="1:20" s="158" customFormat="1" ht="18.75" customHeight="1">
      <c r="A14" s="248">
        <v>4</v>
      </c>
      <c r="B14" s="158" t="s">
        <v>286</v>
      </c>
      <c r="C14" s="159"/>
      <c r="D14" s="159"/>
      <c r="E14" s="159"/>
      <c r="F14" s="162"/>
      <c r="G14" s="162"/>
      <c r="H14" s="162"/>
      <c r="I14" s="162"/>
      <c r="J14" s="162"/>
      <c r="K14" s="160"/>
    </row>
    <row r="15" spans="1:20" s="158" customFormat="1" ht="18.75" customHeight="1">
      <c r="A15" s="248">
        <v>5</v>
      </c>
      <c r="B15" s="159" t="s">
        <v>50</v>
      </c>
      <c r="C15" s="159"/>
      <c r="D15" s="159"/>
      <c r="E15" s="159"/>
      <c r="F15" s="162"/>
      <c r="G15" s="162"/>
      <c r="H15" s="162"/>
      <c r="I15" s="162"/>
      <c r="J15" s="162"/>
      <c r="K15" s="160"/>
    </row>
    <row r="16" spans="1:20" s="158" customFormat="1" ht="18.75" customHeight="1">
      <c r="A16" s="248">
        <v>6</v>
      </c>
      <c r="B16" s="159" t="s">
        <v>281</v>
      </c>
      <c r="C16" s="159"/>
      <c r="D16" s="159"/>
      <c r="E16" s="159"/>
      <c r="F16" s="159"/>
      <c r="G16" s="159"/>
      <c r="H16" s="160"/>
      <c r="I16" s="162"/>
      <c r="J16" s="162"/>
      <c r="K16" s="160"/>
    </row>
    <row r="17" spans="1:16" s="160" customFormat="1" ht="55.5" customHeight="1">
      <c r="A17" s="248">
        <v>7</v>
      </c>
      <c r="B17" s="991" t="s">
        <v>399</v>
      </c>
      <c r="C17" s="991"/>
      <c r="D17" s="991"/>
      <c r="E17" s="991"/>
      <c r="F17" s="991"/>
      <c r="G17" s="991"/>
      <c r="H17" s="991"/>
      <c r="I17" s="991"/>
      <c r="J17" s="991"/>
      <c r="K17" s="991"/>
      <c r="L17" s="991"/>
      <c r="M17" s="991"/>
      <c r="N17" s="161"/>
      <c r="O17" s="161"/>
    </row>
    <row r="18" spans="1:16" s="160" customFormat="1" ht="18.75" customHeight="1">
      <c r="A18" s="248">
        <v>8</v>
      </c>
      <c r="B18" s="159" t="s">
        <v>398</v>
      </c>
      <c r="C18" s="159"/>
      <c r="D18" s="159"/>
      <c r="E18" s="159"/>
      <c r="F18" s="159"/>
      <c r="G18" s="159"/>
      <c r="K18" s="322"/>
      <c r="L18" s="161"/>
      <c r="M18" s="161"/>
      <c r="N18" s="161"/>
      <c r="O18" s="161"/>
    </row>
    <row r="19" spans="1:16" s="160" customFormat="1" ht="18.75" customHeight="1">
      <c r="A19" s="248">
        <v>9</v>
      </c>
      <c r="B19" s="165" t="s">
        <v>61</v>
      </c>
      <c r="C19" s="165"/>
      <c r="D19" s="165"/>
      <c r="E19" s="165"/>
      <c r="F19" s="159"/>
      <c r="G19" s="159"/>
      <c r="K19" s="322"/>
      <c r="L19" s="161"/>
      <c r="M19" s="161"/>
      <c r="N19" s="161"/>
      <c r="O19" s="161"/>
    </row>
    <row r="20" spans="1:16" s="160" customFormat="1" ht="15" customHeight="1">
      <c r="B20" s="165"/>
      <c r="C20" s="165"/>
      <c r="D20" s="165"/>
      <c r="E20" s="165"/>
      <c r="F20" s="159"/>
      <c r="G20" s="159"/>
      <c r="K20" s="322"/>
      <c r="L20" s="161"/>
      <c r="M20" s="161"/>
      <c r="N20" s="161"/>
      <c r="O20" s="161"/>
    </row>
    <row r="21" spans="1:16" s="195" customFormat="1" ht="15" customHeight="1">
      <c r="A21" s="159"/>
      <c r="B21" s="159"/>
      <c r="C21" s="159"/>
      <c r="D21" s="159"/>
      <c r="E21" s="159"/>
      <c r="F21" s="196"/>
      <c r="G21" s="196"/>
      <c r="H21" s="160"/>
      <c r="I21" s="160"/>
      <c r="J21" s="160"/>
      <c r="K21" s="209"/>
      <c r="L21" s="197"/>
      <c r="M21" s="197"/>
      <c r="N21" s="197"/>
      <c r="O21" s="197"/>
      <c r="P21" s="198"/>
    </row>
    <row r="22" spans="1:16" ht="15" customHeight="1">
      <c r="B22" s="145"/>
      <c r="C22" s="145"/>
      <c r="D22" s="145"/>
      <c r="E22" s="145"/>
      <c r="F22" s="137"/>
      <c r="G22" s="137"/>
      <c r="H22" s="138"/>
      <c r="I22" s="139"/>
      <c r="J22" s="139"/>
    </row>
    <row r="23" spans="1:16" ht="15" customHeight="1">
      <c r="C23" s="137"/>
      <c r="D23" s="137"/>
      <c r="E23" s="137"/>
      <c r="F23" s="137"/>
      <c r="G23" s="137"/>
      <c r="H23" s="138"/>
      <c r="I23" s="139"/>
      <c r="J23" s="139"/>
    </row>
    <row r="24" spans="1:16" ht="15" customHeight="1">
      <c r="C24" s="137"/>
      <c r="D24" s="137"/>
      <c r="E24" s="137"/>
      <c r="F24" s="137"/>
      <c r="G24" s="137"/>
      <c r="H24" s="138"/>
      <c r="I24" s="139"/>
      <c r="J24" s="139"/>
    </row>
    <row r="25" spans="1:16" ht="12" customHeight="1">
      <c r="C25" s="137"/>
      <c r="D25" s="137"/>
      <c r="E25" s="137"/>
      <c r="F25" s="137"/>
      <c r="G25" s="137"/>
      <c r="H25" s="138"/>
      <c r="I25" s="139"/>
      <c r="J25" s="139"/>
    </row>
    <row r="26" spans="1:16" ht="12" customHeight="1">
      <c r="C26" s="137"/>
      <c r="D26" s="137"/>
      <c r="E26" s="137"/>
      <c r="F26" s="137"/>
      <c r="G26" s="137"/>
      <c r="H26" s="138"/>
      <c r="I26" s="139"/>
      <c r="J26" s="139"/>
    </row>
    <row r="27" spans="1:16" ht="12" customHeight="1">
      <c r="C27" s="137"/>
      <c r="D27" s="137"/>
      <c r="E27" s="137"/>
      <c r="F27" s="137"/>
      <c r="G27" s="137"/>
      <c r="H27" s="138"/>
      <c r="I27" s="139"/>
      <c r="J27" s="139"/>
    </row>
    <row r="28" spans="1:16" ht="12" customHeight="1">
      <c r="C28" s="137"/>
      <c r="D28" s="137"/>
      <c r="E28" s="137"/>
      <c r="F28" s="137"/>
      <c r="G28" s="137"/>
      <c r="H28" s="138"/>
      <c r="I28" s="139"/>
      <c r="J28" s="139"/>
    </row>
    <row r="29" spans="1:16" ht="12" customHeight="1">
      <c r="C29" s="137"/>
      <c r="D29" s="137"/>
      <c r="E29" s="137"/>
      <c r="F29" s="137"/>
      <c r="G29" s="137"/>
      <c r="H29" s="138"/>
      <c r="I29" s="139"/>
      <c r="J29" s="139"/>
    </row>
    <row r="30" spans="1:16" ht="12" customHeight="1">
      <c r="C30" s="137"/>
      <c r="D30" s="137"/>
      <c r="E30" s="137"/>
      <c r="F30" s="137"/>
      <c r="G30" s="137"/>
      <c r="H30" s="138"/>
      <c r="I30" s="139"/>
      <c r="J30" s="139"/>
    </row>
    <row r="31" spans="1:16" ht="12" customHeight="1">
      <c r="C31" s="137"/>
      <c r="D31" s="137"/>
      <c r="E31" s="137"/>
      <c r="F31" s="137"/>
      <c r="G31" s="137"/>
      <c r="H31" s="138"/>
      <c r="I31" s="139"/>
      <c r="J31" s="139"/>
    </row>
    <row r="32" spans="1:16" ht="12" customHeight="1">
      <c r="C32" s="137"/>
      <c r="D32" s="137"/>
      <c r="E32" s="137"/>
      <c r="F32" s="137"/>
      <c r="G32" s="137"/>
      <c r="H32" s="138"/>
      <c r="I32" s="139"/>
      <c r="J32" s="139"/>
    </row>
    <row r="33" spans="1:17" ht="12" customHeight="1">
      <c r="C33" s="137"/>
      <c r="D33" s="137"/>
      <c r="E33" s="137"/>
      <c r="F33" s="137"/>
      <c r="G33" s="137"/>
      <c r="H33" s="138"/>
      <c r="I33" s="139"/>
      <c r="J33" s="139"/>
    </row>
    <row r="34" spans="1:17" s="163" customFormat="1" ht="12" customHeight="1">
      <c r="A34" s="136"/>
      <c r="B34" s="132"/>
      <c r="C34" s="137"/>
      <c r="D34" s="137"/>
      <c r="E34" s="137"/>
      <c r="F34" s="137"/>
      <c r="G34" s="137"/>
      <c r="H34" s="138"/>
      <c r="I34" s="139"/>
      <c r="J34" s="139"/>
      <c r="L34" s="135"/>
      <c r="M34" s="135"/>
      <c r="N34" s="135"/>
      <c r="O34" s="135"/>
      <c r="P34" s="130"/>
      <c r="Q34" s="127"/>
    </row>
    <row r="35" spans="1:17" s="163" customFormat="1" ht="12" customHeight="1">
      <c r="A35" s="136"/>
      <c r="B35" s="132"/>
      <c r="C35" s="137"/>
      <c r="D35" s="137"/>
      <c r="E35" s="137"/>
      <c r="F35" s="137"/>
      <c r="G35" s="137"/>
      <c r="H35" s="138"/>
      <c r="I35" s="139"/>
      <c r="J35" s="139"/>
      <c r="L35" s="135"/>
      <c r="M35" s="135"/>
      <c r="N35" s="135"/>
      <c r="O35" s="135"/>
      <c r="P35" s="130"/>
      <c r="Q35" s="127"/>
    </row>
    <row r="36" spans="1:17" s="163" customFormat="1" ht="12" customHeight="1">
      <c r="A36" s="136"/>
      <c r="B36" s="132"/>
      <c r="C36" s="137"/>
      <c r="D36" s="137"/>
      <c r="E36" s="137"/>
      <c r="F36" s="137"/>
      <c r="G36" s="137"/>
      <c r="H36" s="138"/>
      <c r="I36" s="139"/>
      <c r="J36" s="139"/>
      <c r="L36" s="135"/>
      <c r="M36" s="135"/>
      <c r="N36" s="135"/>
      <c r="O36" s="135"/>
      <c r="P36" s="130"/>
      <c r="Q36" s="127"/>
    </row>
    <row r="37" spans="1:17" s="163" customFormat="1" ht="12" customHeight="1">
      <c r="A37" s="136"/>
      <c r="B37" s="132"/>
      <c r="C37" s="137"/>
      <c r="D37" s="137"/>
      <c r="E37" s="137"/>
      <c r="F37" s="137"/>
      <c r="G37" s="137"/>
      <c r="H37" s="138"/>
      <c r="I37" s="139"/>
      <c r="J37" s="139"/>
      <c r="L37" s="135"/>
      <c r="M37" s="135"/>
      <c r="N37" s="135"/>
      <c r="O37" s="135"/>
      <c r="P37" s="130"/>
      <c r="Q37" s="127"/>
    </row>
    <row r="38" spans="1:17" s="163" customFormat="1" ht="12" customHeight="1">
      <c r="A38" s="136"/>
      <c r="B38" s="132"/>
      <c r="C38" s="137"/>
      <c r="D38" s="137"/>
      <c r="E38" s="137"/>
      <c r="F38" s="137"/>
      <c r="G38" s="137"/>
      <c r="H38" s="138"/>
      <c r="I38" s="139"/>
      <c r="J38" s="139"/>
      <c r="L38" s="135"/>
      <c r="M38" s="135"/>
      <c r="N38" s="135"/>
      <c r="O38" s="135"/>
      <c r="P38" s="130"/>
      <c r="Q38" s="127"/>
    </row>
    <row r="39" spans="1:17" s="163" customFormat="1" ht="12" customHeight="1">
      <c r="A39" s="136"/>
      <c r="B39" s="132"/>
      <c r="C39" s="137"/>
      <c r="D39" s="137"/>
      <c r="E39" s="137"/>
      <c r="F39" s="137"/>
      <c r="G39" s="137"/>
      <c r="H39" s="138"/>
      <c r="I39" s="139"/>
      <c r="J39" s="139"/>
      <c r="L39" s="135"/>
      <c r="M39" s="135"/>
      <c r="N39" s="135"/>
      <c r="O39" s="135"/>
      <c r="P39" s="130"/>
      <c r="Q39" s="127"/>
    </row>
    <row r="40" spans="1:17" s="163" customFormat="1" ht="12" customHeight="1">
      <c r="A40" s="136"/>
      <c r="B40" s="132"/>
      <c r="C40" s="137"/>
      <c r="D40" s="137"/>
      <c r="E40" s="137"/>
      <c r="F40" s="137"/>
      <c r="G40" s="137"/>
      <c r="H40" s="138"/>
      <c r="I40" s="139"/>
      <c r="J40" s="139"/>
      <c r="L40" s="135"/>
      <c r="M40" s="135"/>
      <c r="N40" s="135"/>
      <c r="O40" s="135"/>
      <c r="P40" s="130"/>
      <c r="Q40" s="127"/>
    </row>
    <row r="41" spans="1:17" s="163" customFormat="1" ht="12" customHeight="1">
      <c r="A41" s="136"/>
      <c r="B41" s="132"/>
      <c r="C41" s="137"/>
      <c r="D41" s="137"/>
      <c r="E41" s="137"/>
      <c r="F41" s="137"/>
      <c r="G41" s="137"/>
      <c r="H41" s="138"/>
      <c r="I41" s="139"/>
      <c r="J41" s="139"/>
      <c r="L41" s="135"/>
      <c r="M41" s="135"/>
      <c r="N41" s="135"/>
      <c r="O41" s="135"/>
      <c r="P41" s="130"/>
      <c r="Q41" s="127"/>
    </row>
    <row r="42" spans="1:17" s="163" customFormat="1" ht="12" customHeight="1">
      <c r="A42" s="136"/>
      <c r="B42" s="132"/>
      <c r="C42" s="137"/>
      <c r="D42" s="137"/>
      <c r="E42" s="137"/>
      <c r="F42" s="137"/>
      <c r="G42" s="137"/>
      <c r="H42" s="138"/>
      <c r="I42" s="139"/>
      <c r="J42" s="139"/>
      <c r="L42" s="135"/>
      <c r="M42" s="135"/>
      <c r="N42" s="135"/>
      <c r="O42" s="135"/>
      <c r="P42" s="130"/>
      <c r="Q42" s="127"/>
    </row>
    <row r="43" spans="1:17" s="163" customFormat="1" ht="12" customHeight="1">
      <c r="A43" s="136"/>
      <c r="B43" s="132"/>
      <c r="C43" s="137"/>
      <c r="D43" s="137"/>
      <c r="E43" s="137"/>
      <c r="F43" s="137"/>
      <c r="G43" s="137"/>
      <c r="H43" s="138"/>
      <c r="I43" s="139"/>
      <c r="J43" s="139"/>
      <c r="L43" s="135"/>
      <c r="M43" s="135"/>
      <c r="N43" s="135"/>
      <c r="O43" s="135"/>
      <c r="P43" s="130"/>
      <c r="Q43" s="127"/>
    </row>
    <row r="44" spans="1:17" s="163" customFormat="1" ht="12" customHeight="1">
      <c r="A44" s="136"/>
      <c r="B44" s="132"/>
      <c r="C44" s="137"/>
      <c r="D44" s="137"/>
      <c r="E44" s="137"/>
      <c r="F44" s="137"/>
      <c r="G44" s="137"/>
      <c r="H44" s="138"/>
      <c r="I44" s="139"/>
      <c r="J44" s="139"/>
      <c r="L44" s="135"/>
      <c r="M44" s="135"/>
      <c r="N44" s="135"/>
      <c r="O44" s="135"/>
      <c r="P44" s="130"/>
      <c r="Q44" s="127"/>
    </row>
    <row r="45" spans="1:17" s="163" customFormat="1" ht="12" customHeight="1">
      <c r="A45" s="136"/>
      <c r="B45" s="132"/>
      <c r="C45" s="137"/>
      <c r="D45" s="137"/>
      <c r="E45" s="137"/>
      <c r="F45" s="137"/>
      <c r="G45" s="137"/>
      <c r="H45" s="138"/>
      <c r="I45" s="139"/>
      <c r="J45" s="139"/>
      <c r="L45" s="135"/>
      <c r="M45" s="135"/>
      <c r="N45" s="135"/>
      <c r="O45" s="135"/>
      <c r="P45" s="130"/>
      <c r="Q45" s="127"/>
    </row>
    <row r="46" spans="1:17" s="163" customFormat="1" ht="12" customHeight="1">
      <c r="A46" s="136"/>
      <c r="B46" s="132"/>
      <c r="C46" s="137"/>
      <c r="D46" s="137"/>
      <c r="E46" s="137"/>
      <c r="F46" s="137"/>
      <c r="G46" s="137"/>
      <c r="H46" s="138"/>
      <c r="I46" s="139"/>
      <c r="J46" s="139"/>
      <c r="L46" s="135"/>
      <c r="M46" s="135"/>
      <c r="N46" s="135"/>
      <c r="O46" s="135"/>
      <c r="P46" s="130"/>
      <c r="Q46" s="127"/>
    </row>
    <row r="47" spans="1:17" s="163" customFormat="1" ht="12" customHeight="1">
      <c r="A47" s="136"/>
      <c r="B47" s="132"/>
      <c r="C47" s="137"/>
      <c r="D47" s="137"/>
      <c r="E47" s="137"/>
      <c r="F47" s="137"/>
      <c r="G47" s="137"/>
      <c r="H47" s="138"/>
      <c r="I47" s="139"/>
      <c r="J47" s="139"/>
      <c r="L47" s="135"/>
      <c r="M47" s="135"/>
      <c r="N47" s="135"/>
      <c r="O47" s="135"/>
      <c r="P47" s="130"/>
      <c r="Q47" s="127"/>
    </row>
    <row r="48" spans="1:17" s="163" customFormat="1" ht="12" customHeight="1">
      <c r="A48" s="136"/>
      <c r="B48" s="132"/>
      <c r="C48" s="137"/>
      <c r="D48" s="137"/>
      <c r="E48" s="137"/>
      <c r="F48" s="137"/>
      <c r="G48" s="137"/>
      <c r="H48" s="138"/>
      <c r="I48" s="139"/>
      <c r="J48" s="139"/>
      <c r="L48" s="135"/>
      <c r="M48" s="135"/>
      <c r="N48" s="135"/>
      <c r="O48" s="135"/>
      <c r="P48" s="130"/>
      <c r="Q48" s="127"/>
    </row>
    <row r="49" spans="1:17" s="163" customFormat="1" ht="12" customHeight="1">
      <c r="A49" s="136"/>
      <c r="B49" s="132"/>
      <c r="C49" s="137"/>
      <c r="D49" s="137"/>
      <c r="E49" s="137"/>
      <c r="F49" s="137"/>
      <c r="G49" s="137"/>
      <c r="H49" s="138"/>
      <c r="I49" s="139"/>
      <c r="J49" s="139"/>
      <c r="L49" s="135"/>
      <c r="M49" s="135"/>
      <c r="N49" s="135"/>
      <c r="O49" s="135"/>
      <c r="P49" s="130"/>
      <c r="Q49" s="127"/>
    </row>
    <row r="50" spans="1:17" s="163" customFormat="1" ht="12" customHeight="1">
      <c r="A50" s="136"/>
      <c r="B50" s="132"/>
      <c r="C50" s="137"/>
      <c r="D50" s="137"/>
      <c r="E50" s="137"/>
      <c r="F50" s="137"/>
      <c r="G50" s="137"/>
      <c r="H50" s="138"/>
      <c r="I50" s="139"/>
      <c r="J50" s="139"/>
      <c r="L50" s="135"/>
      <c r="M50" s="135"/>
      <c r="N50" s="135"/>
      <c r="O50" s="135"/>
      <c r="P50" s="130"/>
      <c r="Q50" s="127"/>
    </row>
    <row r="51" spans="1:17" s="163" customFormat="1" ht="12" customHeight="1">
      <c r="A51" s="136"/>
      <c r="B51" s="132"/>
      <c r="C51" s="137"/>
      <c r="D51" s="137"/>
      <c r="E51" s="137"/>
      <c r="F51" s="137"/>
      <c r="G51" s="137"/>
      <c r="H51" s="138"/>
      <c r="I51" s="139"/>
      <c r="J51" s="139"/>
      <c r="L51" s="135"/>
      <c r="M51" s="135"/>
      <c r="N51" s="135"/>
      <c r="O51" s="135"/>
      <c r="P51" s="130"/>
      <c r="Q51" s="127"/>
    </row>
    <row r="52" spans="1:17" s="163" customFormat="1" ht="12" customHeight="1">
      <c r="A52" s="136"/>
      <c r="B52" s="132"/>
      <c r="C52" s="137"/>
      <c r="D52" s="137"/>
      <c r="E52" s="137"/>
      <c r="F52" s="137"/>
      <c r="G52" s="137"/>
      <c r="H52" s="138"/>
      <c r="I52" s="139"/>
      <c r="J52" s="139"/>
      <c r="L52" s="135"/>
      <c r="M52" s="135"/>
      <c r="N52" s="135"/>
      <c r="O52" s="135"/>
      <c r="P52" s="130"/>
      <c r="Q52" s="127"/>
    </row>
    <row r="53" spans="1:17" s="163" customFormat="1" ht="12" customHeight="1">
      <c r="A53" s="136"/>
      <c r="B53" s="132"/>
      <c r="C53" s="137"/>
      <c r="D53" s="137"/>
      <c r="E53" s="137"/>
      <c r="F53" s="137"/>
      <c r="G53" s="137"/>
      <c r="H53" s="138"/>
      <c r="I53" s="139"/>
      <c r="J53" s="139"/>
      <c r="L53" s="135"/>
      <c r="M53" s="135"/>
      <c r="N53" s="135"/>
      <c r="O53" s="135"/>
      <c r="P53" s="130"/>
      <c r="Q53" s="127"/>
    </row>
    <row r="54" spans="1:17" s="163" customFormat="1" ht="12" customHeight="1">
      <c r="A54" s="136"/>
      <c r="B54" s="132"/>
      <c r="C54" s="137"/>
      <c r="D54" s="137"/>
      <c r="E54" s="137"/>
      <c r="F54" s="137"/>
      <c r="G54" s="137"/>
      <c r="H54" s="138"/>
      <c r="I54" s="139"/>
      <c r="J54" s="139"/>
      <c r="L54" s="135"/>
      <c r="M54" s="135"/>
      <c r="N54" s="135"/>
      <c r="O54" s="135"/>
      <c r="P54" s="130"/>
      <c r="Q54" s="127"/>
    </row>
    <row r="55" spans="1:17" s="163" customFormat="1" ht="12" customHeight="1">
      <c r="A55" s="136"/>
      <c r="B55" s="132"/>
      <c r="C55" s="137"/>
      <c r="D55" s="137"/>
      <c r="E55" s="137"/>
      <c r="F55" s="137"/>
      <c r="G55" s="137"/>
      <c r="H55" s="138"/>
      <c r="I55" s="139"/>
      <c r="J55" s="139"/>
      <c r="L55" s="135"/>
      <c r="M55" s="135"/>
      <c r="N55" s="135"/>
      <c r="O55" s="135"/>
      <c r="P55" s="130"/>
      <c r="Q55" s="127"/>
    </row>
    <row r="56" spans="1:17" s="163" customFormat="1" ht="12" customHeight="1">
      <c r="A56" s="136"/>
      <c r="B56" s="132"/>
      <c r="C56" s="137"/>
      <c r="D56" s="137"/>
      <c r="E56" s="137"/>
      <c r="F56" s="137"/>
      <c r="G56" s="137"/>
      <c r="H56" s="138"/>
      <c r="I56" s="139"/>
      <c r="J56" s="139"/>
      <c r="L56" s="135"/>
      <c r="M56" s="135"/>
      <c r="N56" s="135"/>
      <c r="O56" s="135"/>
      <c r="P56" s="130"/>
      <c r="Q56" s="127"/>
    </row>
    <row r="57" spans="1:17" s="163" customFormat="1" ht="12" customHeight="1">
      <c r="A57" s="136"/>
      <c r="B57" s="132"/>
      <c r="C57" s="137"/>
      <c r="D57" s="137"/>
      <c r="E57" s="137"/>
      <c r="F57" s="137"/>
      <c r="G57" s="137"/>
      <c r="H57" s="138"/>
      <c r="I57" s="139"/>
      <c r="J57" s="139"/>
      <c r="L57" s="135"/>
      <c r="M57" s="135"/>
      <c r="N57" s="135"/>
      <c r="O57" s="135"/>
      <c r="P57" s="130"/>
      <c r="Q57" s="127"/>
    </row>
    <row r="58" spans="1:17" s="163" customFormat="1" ht="12" customHeight="1">
      <c r="A58" s="136"/>
      <c r="B58" s="132"/>
      <c r="C58" s="137"/>
      <c r="D58" s="137"/>
      <c r="E58" s="137"/>
      <c r="F58" s="137"/>
      <c r="G58" s="137"/>
      <c r="H58" s="138"/>
      <c r="I58" s="139"/>
      <c r="J58" s="139"/>
      <c r="L58" s="135"/>
      <c r="M58" s="135"/>
      <c r="N58" s="135"/>
      <c r="O58" s="135"/>
      <c r="P58" s="130"/>
      <c r="Q58" s="127"/>
    </row>
    <row r="59" spans="1:17" s="163" customFormat="1" ht="12" customHeight="1">
      <c r="A59" s="136"/>
      <c r="B59" s="132"/>
      <c r="C59" s="137"/>
      <c r="D59" s="137"/>
      <c r="E59" s="137"/>
      <c r="F59" s="137"/>
      <c r="G59" s="137"/>
      <c r="H59" s="138"/>
      <c r="I59" s="139"/>
      <c r="J59" s="139"/>
      <c r="L59" s="135"/>
      <c r="M59" s="135"/>
      <c r="N59" s="135"/>
      <c r="O59" s="135"/>
      <c r="P59" s="130"/>
      <c r="Q59" s="127"/>
    </row>
    <row r="60" spans="1:17" s="163" customFormat="1" ht="12" customHeight="1">
      <c r="A60" s="136"/>
      <c r="B60" s="132"/>
      <c r="C60" s="137"/>
      <c r="D60" s="137"/>
      <c r="E60" s="137"/>
      <c r="F60" s="137"/>
      <c r="G60" s="137"/>
      <c r="H60" s="138"/>
      <c r="I60" s="139"/>
      <c r="J60" s="139"/>
      <c r="L60" s="135"/>
      <c r="M60" s="135"/>
      <c r="N60" s="135"/>
      <c r="O60" s="135"/>
      <c r="P60" s="130"/>
      <c r="Q60" s="127"/>
    </row>
    <row r="61" spans="1:17" s="163" customFormat="1" ht="12" customHeight="1">
      <c r="A61" s="136"/>
      <c r="B61" s="132"/>
      <c r="C61" s="137"/>
      <c r="D61" s="137"/>
      <c r="E61" s="137"/>
      <c r="F61" s="137"/>
      <c r="G61" s="137"/>
      <c r="H61" s="138"/>
      <c r="I61" s="139"/>
      <c r="J61" s="139"/>
      <c r="L61" s="135"/>
      <c r="M61" s="135"/>
      <c r="N61" s="135"/>
      <c r="O61" s="135"/>
      <c r="P61" s="130"/>
      <c r="Q61" s="127"/>
    </row>
    <row r="62" spans="1:17" s="163" customFormat="1" ht="12" customHeight="1">
      <c r="A62" s="136"/>
      <c r="B62" s="132"/>
      <c r="C62" s="137"/>
      <c r="D62" s="137"/>
      <c r="E62" s="137"/>
      <c r="F62" s="137"/>
      <c r="G62" s="137"/>
      <c r="H62" s="138"/>
      <c r="I62" s="139"/>
      <c r="J62" s="139"/>
      <c r="L62" s="135"/>
      <c r="M62" s="135"/>
      <c r="N62" s="135"/>
      <c r="O62" s="135"/>
      <c r="P62" s="130"/>
      <c r="Q62" s="127"/>
    </row>
    <row r="63" spans="1:17" s="163" customFormat="1" ht="12" customHeight="1">
      <c r="A63" s="136"/>
      <c r="B63" s="132"/>
      <c r="C63" s="137"/>
      <c r="D63" s="137"/>
      <c r="E63" s="137"/>
      <c r="F63" s="137"/>
      <c r="G63" s="137"/>
      <c r="H63" s="138"/>
      <c r="I63" s="139"/>
      <c r="J63" s="139"/>
      <c r="L63" s="135"/>
      <c r="M63" s="135"/>
      <c r="N63" s="135"/>
      <c r="O63" s="135"/>
      <c r="P63" s="130"/>
      <c r="Q63" s="127"/>
    </row>
    <row r="64" spans="1:17" s="163" customFormat="1" ht="12" customHeight="1">
      <c r="A64" s="136"/>
      <c r="B64" s="132"/>
      <c r="C64" s="137"/>
      <c r="D64" s="137"/>
      <c r="E64" s="137"/>
      <c r="F64" s="137"/>
      <c r="G64" s="137"/>
      <c r="H64" s="138"/>
      <c r="I64" s="139"/>
      <c r="J64" s="139"/>
      <c r="L64" s="135"/>
      <c r="M64" s="135"/>
      <c r="N64" s="135"/>
      <c r="O64" s="135"/>
      <c r="P64" s="130"/>
      <c r="Q64" s="127"/>
    </row>
    <row r="65" spans="1:17" s="163" customFormat="1" ht="12" customHeight="1">
      <c r="A65" s="136"/>
      <c r="B65" s="132"/>
      <c r="C65" s="137"/>
      <c r="D65" s="137"/>
      <c r="E65" s="137"/>
      <c r="F65" s="137"/>
      <c r="G65" s="137"/>
      <c r="H65" s="138"/>
      <c r="I65" s="139"/>
      <c r="J65" s="139"/>
      <c r="L65" s="135"/>
      <c r="M65" s="135"/>
      <c r="N65" s="135"/>
      <c r="O65" s="135"/>
      <c r="P65" s="130"/>
      <c r="Q65" s="127"/>
    </row>
    <row r="66" spans="1:17" s="163" customFormat="1" ht="12" customHeight="1">
      <c r="A66" s="136"/>
      <c r="B66" s="132"/>
      <c r="C66" s="137"/>
      <c r="D66" s="137"/>
      <c r="E66" s="137"/>
      <c r="F66" s="137"/>
      <c r="G66" s="137"/>
      <c r="H66" s="138"/>
      <c r="I66" s="139"/>
      <c r="J66" s="139"/>
      <c r="L66" s="135"/>
      <c r="M66" s="135"/>
      <c r="N66" s="135"/>
      <c r="O66" s="135"/>
      <c r="P66" s="130"/>
      <c r="Q66" s="127"/>
    </row>
    <row r="67" spans="1:17" s="163" customFormat="1" ht="12" customHeight="1">
      <c r="A67" s="136"/>
      <c r="B67" s="132"/>
      <c r="C67" s="137"/>
      <c r="D67" s="137"/>
      <c r="E67" s="137"/>
      <c r="F67" s="137"/>
      <c r="G67" s="137"/>
      <c r="H67" s="138"/>
      <c r="I67" s="139"/>
      <c r="J67" s="139"/>
      <c r="L67" s="135"/>
      <c r="M67" s="135"/>
      <c r="N67" s="135"/>
      <c r="O67" s="135"/>
      <c r="P67" s="130"/>
      <c r="Q67" s="127"/>
    </row>
    <row r="68" spans="1:17" s="163" customFormat="1" ht="12" customHeight="1">
      <c r="A68" s="136"/>
      <c r="B68" s="132"/>
      <c r="C68" s="137"/>
      <c r="D68" s="137"/>
      <c r="E68" s="137"/>
      <c r="F68" s="137"/>
      <c r="G68" s="137"/>
      <c r="H68" s="138"/>
      <c r="I68" s="139"/>
      <c r="J68" s="139"/>
      <c r="L68" s="135"/>
      <c r="M68" s="135"/>
      <c r="N68" s="135"/>
      <c r="O68" s="135"/>
      <c r="P68" s="130"/>
      <c r="Q68" s="127"/>
    </row>
    <row r="69" spans="1:17" s="163" customFormat="1" ht="12" customHeight="1">
      <c r="A69" s="136"/>
      <c r="B69" s="132"/>
      <c r="C69" s="137"/>
      <c r="D69" s="137"/>
      <c r="E69" s="137"/>
      <c r="F69" s="137"/>
      <c r="G69" s="137"/>
      <c r="H69" s="138"/>
      <c r="I69" s="139"/>
      <c r="J69" s="139"/>
      <c r="L69" s="135"/>
      <c r="M69" s="135"/>
      <c r="N69" s="135"/>
      <c r="O69" s="135"/>
      <c r="P69" s="130"/>
      <c r="Q69" s="127"/>
    </row>
    <row r="70" spans="1:17" s="163" customFormat="1" ht="12" customHeight="1">
      <c r="A70" s="136"/>
      <c r="B70" s="132"/>
      <c r="C70" s="137"/>
      <c r="D70" s="137"/>
      <c r="E70" s="137"/>
      <c r="F70" s="137"/>
      <c r="G70" s="137"/>
      <c r="H70" s="138"/>
      <c r="I70" s="139"/>
      <c r="J70" s="139"/>
      <c r="L70" s="135"/>
      <c r="M70" s="135"/>
      <c r="N70" s="135"/>
      <c r="O70" s="135"/>
      <c r="P70" s="130"/>
      <c r="Q70" s="127"/>
    </row>
    <row r="71" spans="1:17" s="163" customFormat="1" ht="12" customHeight="1">
      <c r="A71" s="136"/>
      <c r="B71" s="132"/>
      <c r="C71" s="137"/>
      <c r="D71" s="137"/>
      <c r="E71" s="137"/>
      <c r="F71" s="137"/>
      <c r="G71" s="137"/>
      <c r="H71" s="138"/>
      <c r="I71" s="139"/>
      <c r="J71" s="139"/>
      <c r="L71" s="135"/>
      <c r="M71" s="135"/>
      <c r="N71" s="135"/>
      <c r="O71" s="135"/>
      <c r="P71" s="130"/>
      <c r="Q71" s="127"/>
    </row>
    <row r="72" spans="1:17" s="163" customFormat="1" ht="12" customHeight="1">
      <c r="A72" s="136"/>
      <c r="B72" s="132"/>
      <c r="C72" s="137"/>
      <c r="D72" s="137"/>
      <c r="E72" s="137"/>
      <c r="F72" s="137"/>
      <c r="G72" s="137"/>
      <c r="H72" s="138"/>
      <c r="I72" s="139"/>
      <c r="J72" s="139"/>
      <c r="L72" s="135"/>
      <c r="M72" s="135"/>
      <c r="N72" s="135"/>
      <c r="O72" s="135"/>
      <c r="P72" s="130"/>
      <c r="Q72" s="127"/>
    </row>
    <row r="73" spans="1:17" s="163" customFormat="1" ht="12" customHeight="1">
      <c r="A73" s="136"/>
      <c r="B73" s="132"/>
      <c r="C73" s="137"/>
      <c r="D73" s="137"/>
      <c r="E73" s="137"/>
      <c r="F73" s="137"/>
      <c r="G73" s="137"/>
      <c r="H73" s="138"/>
      <c r="I73" s="139"/>
      <c r="J73" s="139"/>
      <c r="L73" s="135"/>
      <c r="M73" s="135"/>
      <c r="N73" s="135"/>
      <c r="O73" s="135"/>
      <c r="P73" s="130"/>
      <c r="Q73" s="127"/>
    </row>
    <row r="74" spans="1:17" s="163" customFormat="1" ht="12" customHeight="1">
      <c r="A74" s="136"/>
      <c r="B74" s="132"/>
      <c r="C74" s="137"/>
      <c r="D74" s="137"/>
      <c r="E74" s="137"/>
      <c r="F74" s="137"/>
      <c r="G74" s="137"/>
      <c r="H74" s="138"/>
      <c r="I74" s="139"/>
      <c r="J74" s="139"/>
      <c r="L74" s="135"/>
      <c r="M74" s="135"/>
      <c r="N74" s="135"/>
      <c r="O74" s="135"/>
      <c r="P74" s="130"/>
      <c r="Q74" s="127"/>
    </row>
    <row r="75" spans="1:17" s="163" customFormat="1" ht="12" customHeight="1">
      <c r="A75" s="136"/>
      <c r="B75" s="132"/>
      <c r="C75" s="137"/>
      <c r="D75" s="137"/>
      <c r="E75" s="137"/>
      <c r="F75" s="137"/>
      <c r="G75" s="137"/>
      <c r="H75" s="138"/>
      <c r="I75" s="139"/>
      <c r="J75" s="139"/>
      <c r="L75" s="135"/>
      <c r="M75" s="135"/>
      <c r="N75" s="135"/>
      <c r="O75" s="135"/>
      <c r="P75" s="130"/>
      <c r="Q75" s="127"/>
    </row>
    <row r="76" spans="1:17" s="163" customFormat="1" ht="12" customHeight="1">
      <c r="A76" s="136"/>
      <c r="B76" s="132"/>
      <c r="C76" s="137"/>
      <c r="D76" s="137"/>
      <c r="E76" s="137"/>
      <c r="F76" s="137"/>
      <c r="G76" s="137"/>
      <c r="H76" s="138"/>
      <c r="I76" s="139"/>
      <c r="J76" s="139"/>
      <c r="L76" s="135"/>
      <c r="M76" s="135"/>
      <c r="N76" s="135"/>
      <c r="O76" s="135"/>
      <c r="P76" s="130"/>
      <c r="Q76" s="127"/>
    </row>
    <row r="77" spans="1:17" s="163" customFormat="1" ht="12" customHeight="1">
      <c r="A77" s="136"/>
      <c r="B77" s="132"/>
      <c r="C77" s="137"/>
      <c r="D77" s="137"/>
      <c r="E77" s="137"/>
      <c r="F77" s="137"/>
      <c r="G77" s="137"/>
      <c r="H77" s="138"/>
      <c r="I77" s="139"/>
      <c r="J77" s="139"/>
      <c r="L77" s="135"/>
      <c r="M77" s="135"/>
      <c r="N77" s="135"/>
      <c r="O77" s="135"/>
      <c r="P77" s="130"/>
      <c r="Q77" s="127"/>
    </row>
    <row r="78" spans="1:17" s="163" customFormat="1" ht="12" customHeight="1">
      <c r="A78" s="136"/>
      <c r="B78" s="132"/>
      <c r="C78" s="137"/>
      <c r="D78" s="137"/>
      <c r="E78" s="137"/>
      <c r="F78" s="137"/>
      <c r="G78" s="137"/>
      <c r="H78" s="138"/>
      <c r="I78" s="139"/>
      <c r="J78" s="139"/>
      <c r="L78" s="135"/>
      <c r="M78" s="135"/>
      <c r="N78" s="135"/>
      <c r="O78" s="135"/>
      <c r="P78" s="130"/>
      <c r="Q78" s="127"/>
    </row>
    <row r="79" spans="1:17" s="163" customFormat="1" ht="12" customHeight="1">
      <c r="A79" s="136"/>
      <c r="B79" s="132"/>
      <c r="C79" s="137"/>
      <c r="D79" s="137"/>
      <c r="E79" s="137"/>
      <c r="F79" s="137"/>
      <c r="G79" s="137"/>
      <c r="H79" s="138"/>
      <c r="I79" s="139"/>
      <c r="J79" s="139"/>
      <c r="L79" s="135"/>
      <c r="M79" s="135"/>
      <c r="N79" s="135"/>
      <c r="O79" s="135"/>
      <c r="P79" s="130"/>
      <c r="Q79" s="127"/>
    </row>
    <row r="80" spans="1:17" s="163" customFormat="1" ht="12" customHeight="1">
      <c r="A80" s="136"/>
      <c r="B80" s="132"/>
      <c r="C80" s="137"/>
      <c r="D80" s="137"/>
      <c r="E80" s="137"/>
      <c r="F80" s="137"/>
      <c r="G80" s="137"/>
      <c r="H80" s="138"/>
      <c r="I80" s="139"/>
      <c r="J80" s="139"/>
      <c r="L80" s="135"/>
      <c r="M80" s="135"/>
      <c r="N80" s="135"/>
      <c r="O80" s="135"/>
      <c r="P80" s="130"/>
      <c r="Q80" s="127"/>
    </row>
    <row r="81" spans="1:17" s="163" customFormat="1" ht="12" customHeight="1">
      <c r="A81" s="136"/>
      <c r="B81" s="132"/>
      <c r="C81" s="137"/>
      <c r="D81" s="137"/>
      <c r="E81" s="137"/>
      <c r="F81" s="137"/>
      <c r="G81" s="137"/>
      <c r="H81" s="138"/>
      <c r="I81" s="139"/>
      <c r="J81" s="139"/>
      <c r="L81" s="135"/>
      <c r="M81" s="135"/>
      <c r="N81" s="135"/>
      <c r="O81" s="135"/>
      <c r="P81" s="130"/>
      <c r="Q81" s="127"/>
    </row>
    <row r="82" spans="1:17" s="163" customFormat="1" ht="12" customHeight="1">
      <c r="A82" s="136"/>
      <c r="B82" s="132"/>
      <c r="C82" s="137"/>
      <c r="D82" s="137"/>
      <c r="E82" s="137"/>
      <c r="F82" s="137"/>
      <c r="G82" s="137"/>
      <c r="H82" s="138"/>
      <c r="I82" s="139"/>
      <c r="J82" s="139"/>
      <c r="L82" s="135"/>
      <c r="M82" s="135"/>
      <c r="N82" s="135"/>
      <c r="O82" s="135"/>
      <c r="P82" s="130"/>
      <c r="Q82" s="127"/>
    </row>
    <row r="83" spans="1:17" s="163" customFormat="1" ht="12" customHeight="1">
      <c r="A83" s="136"/>
      <c r="B83" s="132"/>
      <c r="C83" s="137"/>
      <c r="D83" s="137"/>
      <c r="E83" s="137"/>
      <c r="F83" s="137"/>
      <c r="G83" s="137"/>
      <c r="H83" s="138"/>
      <c r="I83" s="139"/>
      <c r="J83" s="139"/>
      <c r="L83" s="135"/>
      <c r="M83" s="135"/>
      <c r="N83" s="135"/>
      <c r="O83" s="135"/>
      <c r="P83" s="130"/>
      <c r="Q83" s="127"/>
    </row>
    <row r="84" spans="1:17" s="163" customFormat="1" ht="12" customHeight="1">
      <c r="A84" s="136"/>
      <c r="B84" s="132"/>
      <c r="C84" s="137"/>
      <c r="D84" s="137"/>
      <c r="E84" s="137"/>
      <c r="F84" s="137"/>
      <c r="G84" s="137"/>
      <c r="H84" s="138"/>
      <c r="I84" s="139"/>
      <c r="J84" s="139"/>
      <c r="L84" s="135"/>
      <c r="M84" s="135"/>
      <c r="N84" s="135"/>
      <c r="O84" s="135"/>
      <c r="P84" s="130"/>
      <c r="Q84" s="127"/>
    </row>
    <row r="85" spans="1:17" s="163" customFormat="1" ht="12" customHeight="1">
      <c r="A85" s="136"/>
      <c r="B85" s="132"/>
      <c r="C85" s="137"/>
      <c r="D85" s="137"/>
      <c r="E85" s="137"/>
      <c r="F85" s="137"/>
      <c r="G85" s="137"/>
      <c r="H85" s="138"/>
      <c r="I85" s="139"/>
      <c r="J85" s="139"/>
      <c r="L85" s="135"/>
      <c r="M85" s="135"/>
      <c r="N85" s="135"/>
      <c r="O85" s="135"/>
      <c r="P85" s="130"/>
      <c r="Q85" s="127"/>
    </row>
    <row r="86" spans="1:17" s="163" customFormat="1" ht="12" customHeight="1">
      <c r="A86" s="136"/>
      <c r="B86" s="132"/>
      <c r="C86" s="137"/>
      <c r="D86" s="137"/>
      <c r="E86" s="137"/>
      <c r="F86" s="137"/>
      <c r="G86" s="137"/>
      <c r="H86" s="138"/>
      <c r="I86" s="139"/>
      <c r="J86" s="139"/>
      <c r="L86" s="135"/>
      <c r="M86" s="135"/>
      <c r="N86" s="135"/>
      <c r="O86" s="135"/>
      <c r="P86" s="130"/>
      <c r="Q86" s="127"/>
    </row>
    <row r="87" spans="1:17" s="163" customFormat="1" ht="12" customHeight="1">
      <c r="A87" s="136"/>
      <c r="B87" s="132"/>
      <c r="C87" s="137"/>
      <c r="D87" s="137"/>
      <c r="E87" s="137"/>
      <c r="F87" s="137"/>
      <c r="G87" s="137"/>
      <c r="H87" s="138"/>
      <c r="I87" s="139"/>
      <c r="J87" s="139"/>
      <c r="L87" s="135"/>
      <c r="M87" s="135"/>
      <c r="N87" s="135"/>
      <c r="O87" s="135"/>
      <c r="P87" s="130"/>
      <c r="Q87" s="127"/>
    </row>
    <row r="88" spans="1:17" s="163" customFormat="1" ht="12" customHeight="1">
      <c r="A88" s="136"/>
      <c r="B88" s="132"/>
      <c r="C88" s="137"/>
      <c r="D88" s="137"/>
      <c r="E88" s="137"/>
      <c r="F88" s="137"/>
      <c r="G88" s="137"/>
      <c r="H88" s="138"/>
      <c r="I88" s="139"/>
      <c r="J88" s="139"/>
      <c r="L88" s="135"/>
      <c r="M88" s="135"/>
      <c r="N88" s="135"/>
      <c r="O88" s="135"/>
      <c r="P88" s="130"/>
      <c r="Q88" s="127"/>
    </row>
    <row r="89" spans="1:17" s="163" customFormat="1" ht="12" customHeight="1">
      <c r="A89" s="136"/>
      <c r="B89" s="132"/>
      <c r="C89" s="137"/>
      <c r="D89" s="137"/>
      <c r="E89" s="137"/>
      <c r="F89" s="137"/>
      <c r="G89" s="137"/>
      <c r="H89" s="138"/>
      <c r="I89" s="139"/>
      <c r="J89" s="139"/>
      <c r="L89" s="135"/>
      <c r="M89" s="135"/>
      <c r="N89" s="135"/>
      <c r="O89" s="135"/>
      <c r="P89" s="130"/>
      <c r="Q89" s="127"/>
    </row>
    <row r="90" spans="1:17" s="163" customFormat="1" ht="12" customHeight="1">
      <c r="A90" s="136"/>
      <c r="B90" s="132"/>
      <c r="C90" s="137"/>
      <c r="D90" s="137"/>
      <c r="E90" s="137"/>
      <c r="F90" s="137"/>
      <c r="G90" s="137"/>
      <c r="H90" s="138"/>
      <c r="I90" s="139"/>
      <c r="J90" s="139"/>
      <c r="L90" s="135"/>
      <c r="M90" s="135"/>
      <c r="N90" s="135"/>
      <c r="O90" s="135"/>
      <c r="P90" s="130"/>
      <c r="Q90" s="127"/>
    </row>
    <row r="91" spans="1:17" s="163" customFormat="1" ht="12" customHeight="1">
      <c r="A91" s="136"/>
      <c r="B91" s="132"/>
      <c r="C91" s="137"/>
      <c r="D91" s="137"/>
      <c r="E91" s="137"/>
      <c r="F91" s="137"/>
      <c r="G91" s="137"/>
      <c r="H91" s="138"/>
      <c r="I91" s="139"/>
      <c r="J91" s="139"/>
      <c r="L91" s="135"/>
      <c r="M91" s="135"/>
      <c r="N91" s="135"/>
      <c r="O91" s="135"/>
      <c r="P91" s="130"/>
      <c r="Q91" s="127"/>
    </row>
    <row r="92" spans="1:17" s="163" customFormat="1" ht="12" customHeight="1">
      <c r="A92" s="136"/>
      <c r="B92" s="132"/>
      <c r="C92" s="137"/>
      <c r="D92" s="137"/>
      <c r="E92" s="137"/>
      <c r="F92" s="137"/>
      <c r="G92" s="137"/>
      <c r="H92" s="138"/>
      <c r="I92" s="139"/>
      <c r="J92" s="139"/>
      <c r="L92" s="135"/>
      <c r="M92" s="135"/>
      <c r="N92" s="135"/>
      <c r="O92" s="135"/>
      <c r="P92" s="130"/>
      <c r="Q92" s="127"/>
    </row>
    <row r="93" spans="1:17" s="163" customFormat="1" ht="12" customHeight="1">
      <c r="A93" s="136"/>
      <c r="B93" s="132"/>
      <c r="C93" s="137"/>
      <c r="D93" s="137"/>
      <c r="E93" s="137"/>
      <c r="F93" s="137"/>
      <c r="G93" s="137"/>
      <c r="H93" s="138"/>
      <c r="I93" s="139"/>
      <c r="J93" s="139"/>
      <c r="L93" s="135"/>
      <c r="M93" s="135"/>
      <c r="N93" s="135"/>
      <c r="O93" s="135"/>
      <c r="P93" s="130"/>
      <c r="Q93" s="127"/>
    </row>
    <row r="94" spans="1:17" s="163" customFormat="1" ht="12" customHeight="1">
      <c r="A94" s="136"/>
      <c r="B94" s="132"/>
      <c r="C94" s="137"/>
      <c r="D94" s="137"/>
      <c r="E94" s="137"/>
      <c r="F94" s="137"/>
      <c r="G94" s="137"/>
      <c r="H94" s="138"/>
      <c r="I94" s="139"/>
      <c r="J94" s="139"/>
      <c r="L94" s="135"/>
      <c r="M94" s="135"/>
      <c r="N94" s="135"/>
      <c r="O94" s="135"/>
      <c r="P94" s="130"/>
      <c r="Q94" s="127"/>
    </row>
    <row r="95" spans="1:17" s="163" customFormat="1" ht="12" customHeight="1">
      <c r="A95" s="136"/>
      <c r="B95" s="132"/>
      <c r="C95" s="137"/>
      <c r="D95" s="137"/>
      <c r="E95" s="137"/>
      <c r="F95" s="137"/>
      <c r="G95" s="137"/>
      <c r="H95" s="138"/>
      <c r="I95" s="139"/>
      <c r="J95" s="139"/>
      <c r="L95" s="135"/>
      <c r="M95" s="135"/>
      <c r="N95" s="135"/>
      <c r="O95" s="135"/>
      <c r="P95" s="130"/>
      <c r="Q95" s="127"/>
    </row>
    <row r="96" spans="1:17" s="163" customFormat="1" ht="12" customHeight="1">
      <c r="A96" s="136"/>
      <c r="B96" s="132"/>
      <c r="C96" s="137"/>
      <c r="D96" s="137"/>
      <c r="E96" s="137"/>
      <c r="F96" s="137"/>
      <c r="G96" s="137"/>
      <c r="H96" s="138"/>
      <c r="I96" s="139"/>
      <c r="J96" s="139"/>
      <c r="L96" s="135"/>
      <c r="M96" s="135"/>
      <c r="N96" s="135"/>
      <c r="O96" s="135"/>
      <c r="P96" s="130"/>
      <c r="Q96" s="127"/>
    </row>
    <row r="97" spans="1:17" s="163" customFormat="1" ht="12" customHeight="1">
      <c r="A97" s="136"/>
      <c r="B97" s="132"/>
      <c r="C97" s="137"/>
      <c r="D97" s="137"/>
      <c r="E97" s="137"/>
      <c r="F97" s="137"/>
      <c r="G97" s="137"/>
      <c r="H97" s="138"/>
      <c r="I97" s="139"/>
      <c r="J97" s="139"/>
      <c r="L97" s="135"/>
      <c r="M97" s="135"/>
      <c r="N97" s="135"/>
      <c r="O97" s="135"/>
      <c r="P97" s="130"/>
      <c r="Q97" s="127"/>
    </row>
    <row r="98" spans="1:17" s="163" customFormat="1" ht="12" customHeight="1">
      <c r="A98" s="136"/>
      <c r="B98" s="132"/>
      <c r="C98" s="137"/>
      <c r="D98" s="137"/>
      <c r="E98" s="137"/>
      <c r="F98" s="137"/>
      <c r="G98" s="137"/>
      <c r="H98" s="138"/>
      <c r="I98" s="139"/>
      <c r="J98" s="139"/>
      <c r="L98" s="135"/>
      <c r="M98" s="135"/>
      <c r="N98" s="135"/>
      <c r="O98" s="135"/>
      <c r="P98" s="130"/>
      <c r="Q98" s="127"/>
    </row>
    <row r="99" spans="1:17" s="163" customFormat="1" ht="12" customHeight="1">
      <c r="A99" s="136"/>
      <c r="B99" s="132"/>
      <c r="C99" s="137"/>
      <c r="D99" s="137"/>
      <c r="E99" s="137"/>
      <c r="F99" s="137"/>
      <c r="G99" s="137"/>
      <c r="H99" s="138"/>
      <c r="I99" s="139"/>
      <c r="J99" s="139"/>
      <c r="L99" s="135"/>
      <c r="M99" s="135"/>
      <c r="N99" s="135"/>
      <c r="O99" s="135"/>
      <c r="P99" s="130"/>
      <c r="Q99" s="127"/>
    </row>
    <row r="100" spans="1:17" s="163" customFormat="1" ht="12" customHeight="1">
      <c r="A100" s="136"/>
      <c r="B100" s="132"/>
      <c r="C100" s="137"/>
      <c r="D100" s="137"/>
      <c r="E100" s="137"/>
      <c r="F100" s="137"/>
      <c r="G100" s="137"/>
      <c r="H100" s="138"/>
      <c r="I100" s="139"/>
      <c r="J100" s="139"/>
      <c r="L100" s="135"/>
      <c r="M100" s="135"/>
      <c r="N100" s="135"/>
      <c r="O100" s="135"/>
      <c r="P100" s="130"/>
      <c r="Q100" s="127"/>
    </row>
    <row r="101" spans="1:17" s="163" customFormat="1" ht="12" customHeight="1">
      <c r="A101" s="136"/>
      <c r="B101" s="132"/>
      <c r="C101" s="137"/>
      <c r="D101" s="137"/>
      <c r="E101" s="137"/>
      <c r="F101" s="137"/>
      <c r="G101" s="137"/>
      <c r="H101" s="138"/>
      <c r="I101" s="139"/>
      <c r="J101" s="139"/>
      <c r="L101" s="135"/>
      <c r="M101" s="135"/>
      <c r="N101" s="135"/>
      <c r="O101" s="135"/>
      <c r="P101" s="130"/>
      <c r="Q101" s="127"/>
    </row>
    <row r="102" spans="1:17" s="163" customFormat="1" ht="12" customHeight="1">
      <c r="A102" s="136"/>
      <c r="B102" s="132"/>
      <c r="C102" s="137"/>
      <c r="D102" s="137"/>
      <c r="E102" s="137"/>
      <c r="F102" s="137"/>
      <c r="G102" s="137"/>
      <c r="H102" s="138"/>
      <c r="I102" s="139"/>
      <c r="J102" s="139"/>
      <c r="L102" s="135"/>
      <c r="M102" s="135"/>
      <c r="N102" s="135"/>
      <c r="O102" s="135"/>
      <c r="P102" s="130"/>
      <c r="Q102" s="127"/>
    </row>
    <row r="103" spans="1:17" s="163" customFormat="1" ht="12" customHeight="1">
      <c r="A103" s="136"/>
      <c r="B103" s="132"/>
      <c r="C103" s="137"/>
      <c r="D103" s="137"/>
      <c r="E103" s="137"/>
      <c r="F103" s="137"/>
      <c r="G103" s="137"/>
      <c r="H103" s="138"/>
      <c r="I103" s="139"/>
      <c r="J103" s="139"/>
      <c r="L103" s="135"/>
      <c r="M103" s="135"/>
      <c r="N103" s="135"/>
      <c r="O103" s="135"/>
      <c r="P103" s="130"/>
      <c r="Q103" s="127"/>
    </row>
    <row r="104" spans="1:17" s="163" customFormat="1" ht="12" customHeight="1">
      <c r="A104" s="136"/>
      <c r="B104" s="132"/>
      <c r="C104" s="137"/>
      <c r="D104" s="137"/>
      <c r="E104" s="137"/>
      <c r="F104" s="137"/>
      <c r="G104" s="137"/>
      <c r="H104" s="138"/>
      <c r="I104" s="139"/>
      <c r="J104" s="139"/>
      <c r="L104" s="135"/>
      <c r="M104" s="135"/>
      <c r="N104" s="135"/>
      <c r="O104" s="135"/>
      <c r="P104" s="130"/>
      <c r="Q104" s="127"/>
    </row>
    <row r="105" spans="1:17" s="163" customFormat="1" ht="12" customHeight="1">
      <c r="A105" s="136"/>
      <c r="B105" s="132"/>
      <c r="C105" s="137"/>
      <c r="D105" s="137"/>
      <c r="E105" s="137"/>
      <c r="F105" s="137"/>
      <c r="G105" s="137"/>
      <c r="H105" s="138"/>
      <c r="I105" s="139"/>
      <c r="J105" s="139"/>
      <c r="L105" s="135"/>
      <c r="M105" s="135"/>
      <c r="N105" s="135"/>
      <c r="O105" s="135"/>
      <c r="P105" s="130"/>
      <c r="Q105" s="127"/>
    </row>
    <row r="106" spans="1:17" s="163" customFormat="1" ht="12" customHeight="1">
      <c r="A106" s="136"/>
      <c r="B106" s="132"/>
      <c r="C106" s="137"/>
      <c r="D106" s="137"/>
      <c r="E106" s="137"/>
      <c r="F106" s="137"/>
      <c r="G106" s="137"/>
      <c r="H106" s="138"/>
      <c r="I106" s="139"/>
      <c r="J106" s="139"/>
      <c r="L106" s="135"/>
      <c r="M106" s="135"/>
      <c r="N106" s="135"/>
      <c r="O106" s="135"/>
      <c r="P106" s="130"/>
      <c r="Q106" s="127"/>
    </row>
    <row r="107" spans="1:17" s="163" customFormat="1" ht="12" customHeight="1">
      <c r="A107" s="136"/>
      <c r="B107" s="132"/>
      <c r="C107" s="137"/>
      <c r="D107" s="137"/>
      <c r="E107" s="137"/>
      <c r="F107" s="137"/>
      <c r="G107" s="137"/>
      <c r="H107" s="138"/>
      <c r="I107" s="139"/>
      <c r="J107" s="139"/>
      <c r="L107" s="135"/>
      <c r="M107" s="135"/>
      <c r="N107" s="135"/>
      <c r="O107" s="135"/>
      <c r="P107" s="130"/>
      <c r="Q107" s="127"/>
    </row>
    <row r="108" spans="1:17" s="163" customFormat="1" ht="12" customHeight="1">
      <c r="A108" s="136"/>
      <c r="B108" s="132"/>
      <c r="C108" s="137"/>
      <c r="D108" s="137"/>
      <c r="E108" s="137"/>
      <c r="F108" s="137"/>
      <c r="G108" s="137"/>
      <c r="H108" s="138"/>
      <c r="I108" s="139"/>
      <c r="J108" s="139"/>
      <c r="L108" s="135"/>
      <c r="M108" s="135"/>
      <c r="N108" s="135"/>
      <c r="O108" s="135"/>
      <c r="P108" s="130"/>
      <c r="Q108" s="127"/>
    </row>
    <row r="109" spans="1:17" s="163" customFormat="1" ht="12" customHeight="1">
      <c r="A109" s="136"/>
      <c r="B109" s="132"/>
      <c r="C109" s="137"/>
      <c r="D109" s="137"/>
      <c r="E109" s="137"/>
      <c r="F109" s="137"/>
      <c r="G109" s="137"/>
      <c r="H109" s="138"/>
      <c r="I109" s="139"/>
      <c r="J109" s="139"/>
      <c r="L109" s="135"/>
      <c r="M109" s="135"/>
      <c r="N109" s="135"/>
      <c r="O109" s="135"/>
      <c r="P109" s="130"/>
      <c r="Q109" s="127"/>
    </row>
    <row r="110" spans="1:17" s="163" customFormat="1" ht="12" customHeight="1">
      <c r="A110" s="136"/>
      <c r="B110" s="132"/>
      <c r="C110" s="137"/>
      <c r="D110" s="137"/>
      <c r="E110" s="137"/>
      <c r="F110" s="137"/>
      <c r="G110" s="137"/>
      <c r="H110" s="138"/>
      <c r="I110" s="139"/>
      <c r="J110" s="139"/>
      <c r="L110" s="135"/>
      <c r="M110" s="135"/>
      <c r="N110" s="135"/>
      <c r="O110" s="135"/>
      <c r="P110" s="130"/>
      <c r="Q110" s="127"/>
    </row>
    <row r="111" spans="1:17" s="163" customFormat="1" ht="12" customHeight="1">
      <c r="A111" s="136"/>
      <c r="B111" s="132"/>
      <c r="C111" s="137"/>
      <c r="D111" s="137"/>
      <c r="E111" s="137"/>
      <c r="F111" s="137"/>
      <c r="G111" s="137"/>
      <c r="H111" s="138"/>
      <c r="I111" s="139"/>
      <c r="J111" s="139"/>
      <c r="L111" s="135"/>
      <c r="M111" s="135"/>
      <c r="N111" s="135"/>
      <c r="O111" s="135"/>
      <c r="P111" s="130"/>
      <c r="Q111" s="127"/>
    </row>
    <row r="112" spans="1:17" s="163" customFormat="1" ht="12" customHeight="1">
      <c r="A112" s="136"/>
      <c r="B112" s="132"/>
      <c r="C112" s="137"/>
      <c r="D112" s="137"/>
      <c r="E112" s="137"/>
      <c r="F112" s="137"/>
      <c r="G112" s="137"/>
      <c r="H112" s="138"/>
      <c r="I112" s="139"/>
      <c r="J112" s="139"/>
      <c r="L112" s="135"/>
      <c r="M112" s="135"/>
      <c r="N112" s="135"/>
      <c r="O112" s="135"/>
      <c r="P112" s="130"/>
      <c r="Q112" s="127"/>
    </row>
    <row r="113" spans="1:17" s="163" customFormat="1" ht="12" customHeight="1">
      <c r="A113" s="136"/>
      <c r="B113" s="132"/>
      <c r="C113" s="137"/>
      <c r="D113" s="137"/>
      <c r="E113" s="137"/>
      <c r="F113" s="137"/>
      <c r="G113" s="137"/>
      <c r="H113" s="138"/>
      <c r="I113" s="139"/>
      <c r="J113" s="139"/>
      <c r="L113" s="135"/>
      <c r="M113" s="135"/>
      <c r="N113" s="135"/>
      <c r="O113" s="135"/>
      <c r="P113" s="130"/>
      <c r="Q113" s="127"/>
    </row>
    <row r="114" spans="1:17" s="163" customFormat="1" ht="12" customHeight="1">
      <c r="A114" s="136"/>
      <c r="B114" s="132"/>
      <c r="C114" s="137"/>
      <c r="D114" s="137"/>
      <c r="E114" s="137"/>
      <c r="F114" s="137"/>
      <c r="G114" s="137"/>
      <c r="H114" s="138"/>
      <c r="I114" s="139"/>
      <c r="J114" s="139"/>
      <c r="L114" s="135"/>
      <c r="M114" s="135"/>
      <c r="N114" s="135"/>
      <c r="O114" s="135"/>
      <c r="P114" s="130"/>
      <c r="Q114" s="127"/>
    </row>
    <row r="115" spans="1:17" s="163" customFormat="1" ht="12" customHeight="1">
      <c r="A115" s="136"/>
      <c r="B115" s="132"/>
      <c r="C115" s="137"/>
      <c r="D115" s="137"/>
      <c r="E115" s="137"/>
      <c r="F115" s="137"/>
      <c r="G115" s="137"/>
      <c r="H115" s="138"/>
      <c r="I115" s="139"/>
      <c r="J115" s="139"/>
      <c r="L115" s="135"/>
      <c r="M115" s="135"/>
      <c r="N115" s="135"/>
      <c r="O115" s="135"/>
      <c r="P115" s="130"/>
      <c r="Q115" s="127"/>
    </row>
    <row r="116" spans="1:17" s="163" customFormat="1" ht="12" customHeight="1">
      <c r="A116" s="136"/>
      <c r="B116" s="132"/>
      <c r="C116" s="137"/>
      <c r="D116" s="137"/>
      <c r="E116" s="137"/>
      <c r="F116" s="137"/>
      <c r="G116" s="137"/>
      <c r="H116" s="138"/>
      <c r="I116" s="139"/>
      <c r="J116" s="139"/>
      <c r="L116" s="135"/>
      <c r="M116" s="135"/>
      <c r="N116" s="135"/>
      <c r="O116" s="135"/>
      <c r="P116" s="130"/>
      <c r="Q116" s="127"/>
    </row>
    <row r="117" spans="1:17" s="163" customFormat="1" ht="12" customHeight="1">
      <c r="A117" s="136"/>
      <c r="B117" s="132"/>
      <c r="C117" s="137"/>
      <c r="D117" s="137"/>
      <c r="E117" s="137"/>
      <c r="F117" s="137"/>
      <c r="G117" s="137"/>
      <c r="H117" s="138"/>
      <c r="I117" s="139"/>
      <c r="J117" s="139"/>
      <c r="L117" s="135"/>
      <c r="M117" s="135"/>
      <c r="N117" s="135"/>
      <c r="O117" s="135"/>
      <c r="P117" s="130"/>
      <c r="Q117" s="127"/>
    </row>
    <row r="118" spans="1:17" s="163" customFormat="1" ht="12" customHeight="1">
      <c r="A118" s="136"/>
      <c r="B118" s="132"/>
      <c r="C118" s="137"/>
      <c r="D118" s="137"/>
      <c r="E118" s="137"/>
      <c r="F118" s="137"/>
      <c r="G118" s="137"/>
      <c r="H118" s="138"/>
      <c r="I118" s="139"/>
      <c r="J118" s="139"/>
      <c r="L118" s="135"/>
      <c r="M118" s="135"/>
      <c r="N118" s="135"/>
      <c r="O118" s="135"/>
      <c r="P118" s="130"/>
      <c r="Q118" s="127"/>
    </row>
    <row r="119" spans="1:17" s="163" customFormat="1" ht="12" customHeight="1">
      <c r="A119" s="136"/>
      <c r="B119" s="132"/>
      <c r="C119" s="137"/>
      <c r="D119" s="137"/>
      <c r="E119" s="137"/>
      <c r="F119" s="137"/>
      <c r="G119" s="137"/>
      <c r="H119" s="138"/>
      <c r="I119" s="139"/>
      <c r="J119" s="139"/>
      <c r="L119" s="135"/>
      <c r="M119" s="135"/>
      <c r="N119" s="135"/>
      <c r="O119" s="135"/>
      <c r="P119" s="130"/>
      <c r="Q119" s="127"/>
    </row>
    <row r="120" spans="1:17" s="163" customFormat="1" ht="12" customHeight="1">
      <c r="A120" s="136"/>
      <c r="B120" s="132"/>
      <c r="C120" s="137"/>
      <c r="D120" s="137"/>
      <c r="E120" s="137"/>
      <c r="F120" s="137"/>
      <c r="G120" s="137"/>
      <c r="H120" s="138"/>
      <c r="I120" s="139"/>
      <c r="J120" s="139"/>
      <c r="L120" s="135"/>
      <c r="M120" s="135"/>
      <c r="N120" s="135"/>
      <c r="O120" s="135"/>
      <c r="P120" s="130"/>
      <c r="Q120" s="127"/>
    </row>
    <row r="121" spans="1:17" s="163" customFormat="1" ht="12" customHeight="1">
      <c r="A121" s="136"/>
      <c r="B121" s="132"/>
      <c r="C121" s="137"/>
      <c r="D121" s="137"/>
      <c r="E121" s="137"/>
      <c r="F121" s="137"/>
      <c r="G121" s="137"/>
      <c r="H121" s="138"/>
      <c r="I121" s="139"/>
      <c r="J121" s="139"/>
      <c r="L121" s="135"/>
      <c r="M121" s="135"/>
      <c r="N121" s="135"/>
      <c r="O121" s="135"/>
      <c r="P121" s="130"/>
      <c r="Q121" s="127"/>
    </row>
    <row r="122" spans="1:17" s="163" customFormat="1" ht="12" customHeight="1">
      <c r="A122" s="136"/>
      <c r="B122" s="132"/>
      <c r="C122" s="137"/>
      <c r="D122" s="137"/>
      <c r="E122" s="137"/>
      <c r="F122" s="137"/>
      <c r="G122" s="137"/>
      <c r="H122" s="138"/>
      <c r="I122" s="139"/>
      <c r="J122" s="139"/>
      <c r="L122" s="135"/>
      <c r="M122" s="135"/>
      <c r="N122" s="135"/>
      <c r="O122" s="135"/>
      <c r="P122" s="130"/>
      <c r="Q122" s="127"/>
    </row>
    <row r="123" spans="1:17" s="163" customFormat="1" ht="12" customHeight="1">
      <c r="A123" s="136"/>
      <c r="B123" s="132"/>
      <c r="C123" s="137"/>
      <c r="D123" s="137"/>
      <c r="E123" s="137"/>
      <c r="F123" s="137"/>
      <c r="G123" s="137"/>
      <c r="H123" s="138"/>
      <c r="I123" s="139"/>
      <c r="J123" s="139"/>
      <c r="L123" s="135"/>
      <c r="M123" s="135"/>
      <c r="N123" s="135"/>
      <c r="O123" s="135"/>
      <c r="P123" s="130"/>
      <c r="Q123" s="127"/>
    </row>
    <row r="124" spans="1:17" s="163" customFormat="1" ht="12" customHeight="1">
      <c r="A124" s="136"/>
      <c r="B124" s="132"/>
      <c r="C124" s="137"/>
      <c r="D124" s="137"/>
      <c r="E124" s="137"/>
      <c r="F124" s="137"/>
      <c r="G124" s="137"/>
      <c r="H124" s="138"/>
      <c r="I124" s="139"/>
      <c r="J124" s="139"/>
      <c r="L124" s="135"/>
      <c r="M124" s="135"/>
      <c r="N124" s="135"/>
      <c r="O124" s="135"/>
      <c r="P124" s="130"/>
      <c r="Q124" s="127"/>
    </row>
  </sheetData>
  <mergeCells count="20">
    <mergeCell ref="S5:S6"/>
    <mergeCell ref="A8:Q8"/>
    <mergeCell ref="A9:Q9"/>
    <mergeCell ref="B17:M17"/>
    <mergeCell ref="B10:O10"/>
    <mergeCell ref="F5:H5"/>
    <mergeCell ref="B13:H13"/>
    <mergeCell ref="O5:O6"/>
    <mergeCell ref="M5:M6"/>
    <mergeCell ref="N5:N6"/>
    <mergeCell ref="D5:D6"/>
    <mergeCell ref="E5:E6"/>
    <mergeCell ref="I5:K5"/>
    <mergeCell ref="L5:L6"/>
    <mergeCell ref="P5:P6"/>
    <mergeCell ref="A5:A6"/>
    <mergeCell ref="B5:B6"/>
    <mergeCell ref="C5:C6"/>
    <mergeCell ref="Q5:Q6"/>
    <mergeCell ref="R5:R6"/>
  </mergeCells>
  <phoneticPr fontId="2" type="noConversion"/>
  <pageMargins left="0.74803149606299213" right="0.74803149606299213" top="0.63" bottom="0.66" header="0.51181102362204722" footer="0.51181102362204722"/>
  <pageSetup paperSize="9" scale="53" fitToHeight="3" orientation="landscape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T9"/>
  <sheetViews>
    <sheetView workbookViewId="0">
      <selection activeCell="A4" sqref="A4:XFD9"/>
    </sheetView>
  </sheetViews>
  <sheetFormatPr defaultRowHeight="13.5"/>
  <cols>
    <col min="2" max="2" width="27.77734375" customWidth="1"/>
  </cols>
  <sheetData>
    <row r="1" spans="1:20" s="124" customFormat="1" ht="50.25" customHeight="1">
      <c r="A1" s="320"/>
      <c r="B1" s="515" t="s">
        <v>745</v>
      </c>
      <c r="C1" s="325" t="s">
        <v>746</v>
      </c>
      <c r="D1" s="320"/>
      <c r="E1" s="321"/>
      <c r="F1" s="320"/>
      <c r="G1" s="320"/>
      <c r="H1" s="120"/>
      <c r="I1" s="120"/>
      <c r="J1" s="120"/>
      <c r="K1" s="280"/>
      <c r="L1" s="120"/>
      <c r="M1" s="120"/>
      <c r="N1" s="120"/>
      <c r="O1" s="120"/>
      <c r="P1" s="121"/>
      <c r="Q1" s="123"/>
    </row>
    <row r="2" spans="1:20" s="123" customFormat="1" ht="9" customHeight="1">
      <c r="A2" s="320"/>
      <c r="B2" s="321"/>
      <c r="C2" s="320"/>
      <c r="D2" s="320"/>
      <c r="E2" s="321"/>
      <c r="F2" s="320"/>
      <c r="G2" s="320"/>
      <c r="H2" s="120"/>
      <c r="I2" s="120"/>
      <c r="J2" s="120"/>
      <c r="K2" s="280"/>
      <c r="L2" s="120"/>
      <c r="M2" s="120"/>
      <c r="N2" s="120"/>
      <c r="O2" s="120"/>
      <c r="P2" s="121"/>
    </row>
    <row r="3" spans="1:20" s="188" customFormat="1" ht="9.75" customHeight="1">
      <c r="A3" s="568"/>
      <c r="B3" s="568"/>
      <c r="C3" s="568"/>
      <c r="D3" s="568"/>
      <c r="E3" s="568"/>
      <c r="F3" s="568"/>
      <c r="G3" s="568"/>
      <c r="H3" s="569"/>
      <c r="I3" s="187"/>
      <c r="J3" s="187"/>
      <c r="K3" s="187"/>
      <c r="L3" s="187"/>
      <c r="M3" s="187"/>
      <c r="N3" s="187"/>
      <c r="O3" s="187"/>
    </row>
    <row r="4" spans="1:20" s="123" customFormat="1" ht="33.75" customHeight="1" thickBot="1">
      <c r="A4" s="320"/>
      <c r="B4" s="321" t="s">
        <v>32</v>
      </c>
      <c r="C4" s="320"/>
      <c r="D4" s="320"/>
      <c r="E4" s="321"/>
      <c r="F4" s="320"/>
      <c r="G4" s="320"/>
      <c r="H4" s="120"/>
      <c r="I4" s="120"/>
      <c r="J4" s="120"/>
      <c r="K4" s="280"/>
      <c r="L4" s="120"/>
      <c r="M4" s="120"/>
      <c r="N4" s="120"/>
      <c r="O4" s="120"/>
      <c r="P4" s="121"/>
    </row>
    <row r="5" spans="1:20" s="125" customFormat="1" ht="33" customHeight="1">
      <c r="A5" s="992" t="s">
        <v>25</v>
      </c>
      <c r="B5" s="994" t="s">
        <v>26</v>
      </c>
      <c r="C5" s="1005" t="s">
        <v>27</v>
      </c>
      <c r="D5" s="1005" t="s">
        <v>28</v>
      </c>
      <c r="E5" s="1003" t="s">
        <v>33</v>
      </c>
      <c r="F5" s="996" t="s">
        <v>34</v>
      </c>
      <c r="G5" s="997"/>
      <c r="H5" s="998"/>
      <c r="I5" s="997" t="s">
        <v>35</v>
      </c>
      <c r="J5" s="997"/>
      <c r="K5" s="998"/>
      <c r="L5" s="999" t="s">
        <v>743</v>
      </c>
      <c r="M5" s="999" t="s">
        <v>744</v>
      </c>
      <c r="N5" s="999" t="s">
        <v>36</v>
      </c>
      <c r="O5" s="1003" t="s">
        <v>37</v>
      </c>
      <c r="P5" s="1001" t="s">
        <v>38</v>
      </c>
      <c r="Q5" s="1001" t="s">
        <v>39</v>
      </c>
      <c r="R5" s="1001" t="s">
        <v>40</v>
      </c>
      <c r="S5" s="984" t="s">
        <v>30</v>
      </c>
    </row>
    <row r="6" spans="1:20" s="125" customFormat="1" ht="33" customHeight="1">
      <c r="A6" s="993"/>
      <c r="B6" s="995"/>
      <c r="C6" s="1006"/>
      <c r="D6" s="1006"/>
      <c r="E6" s="1004"/>
      <c r="F6" s="753" t="s">
        <v>41</v>
      </c>
      <c r="G6" s="753" t="s">
        <v>42</v>
      </c>
      <c r="H6" s="754" t="s">
        <v>43</v>
      </c>
      <c r="I6" s="753" t="s">
        <v>44</v>
      </c>
      <c r="J6" s="753" t="s">
        <v>45</v>
      </c>
      <c r="K6" s="754" t="s">
        <v>46</v>
      </c>
      <c r="L6" s="1000"/>
      <c r="M6" s="1000"/>
      <c r="N6" s="1000"/>
      <c r="O6" s="1004"/>
      <c r="P6" s="1002"/>
      <c r="Q6" s="1002"/>
      <c r="R6" s="1002"/>
      <c r="S6" s="985"/>
    </row>
    <row r="7" spans="1:20" s="186" customFormat="1" ht="60.75" customHeight="1">
      <c r="A7" s="189">
        <v>1</v>
      </c>
      <c r="B7" s="190" t="s">
        <v>458</v>
      </c>
      <c r="C7" s="512" t="s">
        <v>407</v>
      </c>
      <c r="D7" s="199">
        <v>0</v>
      </c>
      <c r="E7" s="191">
        <v>10379</v>
      </c>
      <c r="F7" s="513">
        <v>37474</v>
      </c>
      <c r="G7" s="513">
        <v>40630</v>
      </c>
      <c r="H7" s="625">
        <f>IF(G7-F7+1&gt;=2*365,2*365,G7-F7+1)</f>
        <v>730</v>
      </c>
      <c r="I7" s="513">
        <v>37474</v>
      </c>
      <c r="J7" s="513">
        <v>39101</v>
      </c>
      <c r="K7" s="625">
        <f>IF(J7-I7+1&gt;=2*365,2*365,J7-I7+1)</f>
        <v>730</v>
      </c>
      <c r="L7" s="796">
        <v>1600000</v>
      </c>
      <c r="M7" s="625">
        <f>(IF(L7&gt;=3300000,3,IF(L7&gt;=1650000,2,1)))</f>
        <v>1</v>
      </c>
      <c r="N7" s="626" t="s">
        <v>457</v>
      </c>
      <c r="O7" s="191">
        <f>189+113+91+54</f>
        <v>447</v>
      </c>
      <c r="P7" s="635">
        <f>E7-O7</f>
        <v>9932</v>
      </c>
      <c r="Q7" s="797">
        <f>P7/(배점기준!$G$9/1000)*M7</f>
        <v>6.5959214466399123</v>
      </c>
      <c r="R7" s="637">
        <f>(IF(P7&lt;231,0,IF(Q7&gt;=4,6,IF(Q7&gt;=3.5,5,IF(Q7&gt;=3,4,IF(Q7&gt;=2.5,3,IF(Q7&gt;=2,2,IF(Q7&gt;=1.5,1.5,IF(Q7&gt;=1,1,IF(Q7&gt;=0.5,0.5,0.25))))))))))*K7/H7</f>
        <v>6</v>
      </c>
      <c r="S7" s="798"/>
      <c r="T7" s="181"/>
    </row>
    <row r="8" spans="1:20" s="186" customFormat="1" ht="41.25" customHeight="1">
      <c r="A8" s="986" t="s">
        <v>31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7"/>
      <c r="N8" s="987"/>
      <c r="O8" s="987"/>
      <c r="P8" s="987"/>
      <c r="Q8" s="987"/>
      <c r="R8" s="346">
        <f>SUM(R7:R7)</f>
        <v>6</v>
      </c>
      <c r="S8" s="799"/>
    </row>
    <row r="9" spans="1:20" s="188" customFormat="1" ht="41.25" customHeight="1" thickBot="1">
      <c r="A9" s="1010" t="s">
        <v>47</v>
      </c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345">
        <f>R8</f>
        <v>6</v>
      </c>
      <c r="S9" s="800"/>
    </row>
  </sheetData>
  <mergeCells count="17">
    <mergeCell ref="A9:Q9"/>
    <mergeCell ref="I5:K5"/>
    <mergeCell ref="L5:L6"/>
    <mergeCell ref="M5:M6"/>
    <mergeCell ref="N5:N6"/>
    <mergeCell ref="O5:O6"/>
    <mergeCell ref="P5:P6"/>
    <mergeCell ref="A5:A6"/>
    <mergeCell ref="B5:B6"/>
    <mergeCell ref="C5:C6"/>
    <mergeCell ref="D5:D6"/>
    <mergeCell ref="E5:E6"/>
    <mergeCell ref="F5:H5"/>
    <mergeCell ref="Q5:Q6"/>
    <mergeCell ref="R5:R6"/>
    <mergeCell ref="S5:S6"/>
    <mergeCell ref="A8:Q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39</vt:i4>
      </vt:variant>
      <vt:variant>
        <vt:lpstr>이름이 지정된 범위</vt:lpstr>
      </vt:variant>
      <vt:variant>
        <vt:i4>49</vt:i4>
      </vt:variant>
    </vt:vector>
  </HeadingPairs>
  <TitlesOfParts>
    <vt:vector size="88" baseType="lpstr">
      <vt:lpstr>작성요령</vt:lpstr>
      <vt:lpstr>참여업체</vt:lpstr>
      <vt:lpstr>배점기준</vt:lpstr>
      <vt:lpstr>기술자</vt:lpstr>
      <vt:lpstr>종합</vt:lpstr>
      <vt:lpstr>사업책임기술자경력</vt:lpstr>
      <vt:lpstr>사업책임기술자(000)</vt:lpstr>
      <vt:lpstr>도시계획책임(000)</vt:lpstr>
      <vt:lpstr>토질지질책임(000)</vt:lpstr>
      <vt:lpstr>도로공항책임(000)</vt:lpstr>
      <vt:lpstr>토목구조책임(000)</vt:lpstr>
      <vt:lpstr>상하수도분책(000)</vt:lpstr>
      <vt:lpstr>도시계획참여(000)</vt:lpstr>
      <vt:lpstr>토질지질참여(000)</vt:lpstr>
      <vt:lpstr>도로공항참여(000)</vt:lpstr>
      <vt:lpstr>토목구조참여(000)</vt:lpstr>
      <vt:lpstr>상하수도참여(000)</vt:lpstr>
      <vt:lpstr>교육훈련</vt:lpstr>
      <vt:lpstr>전차용역(기술자)</vt:lpstr>
      <vt:lpstr>유사용역</vt:lpstr>
      <vt:lpstr>유사(000)</vt:lpstr>
      <vt:lpstr>유사(0001)</vt:lpstr>
      <vt:lpstr>유사(0002)</vt:lpstr>
      <vt:lpstr>전차용역</vt:lpstr>
      <vt:lpstr>용역수행성과</vt:lpstr>
      <vt:lpstr>신용도</vt:lpstr>
      <vt:lpstr>부실벌점</vt:lpstr>
      <vt:lpstr>기술투자</vt:lpstr>
      <vt:lpstr>개발(000)</vt:lpstr>
      <vt:lpstr>개발(0001)</vt:lpstr>
      <vt:lpstr>개발(0002)</vt:lpstr>
      <vt:lpstr>활용(000)</vt:lpstr>
      <vt:lpstr>활용(0001)</vt:lpstr>
      <vt:lpstr>활용(0002)</vt:lpstr>
      <vt:lpstr>중소기업 상생발전</vt:lpstr>
      <vt:lpstr>업무중복도</vt:lpstr>
      <vt:lpstr>중첩신고</vt:lpstr>
      <vt:lpstr>가감점</vt:lpstr>
      <vt:lpstr>Sheet1</vt:lpstr>
      <vt:lpstr>가감점!Print_Area</vt:lpstr>
      <vt:lpstr>'개발(000)'!Print_Area</vt:lpstr>
      <vt:lpstr>'개발(0001)'!Print_Area</vt:lpstr>
      <vt:lpstr>'개발(0002)'!Print_Area</vt:lpstr>
      <vt:lpstr>교육훈련!Print_Area</vt:lpstr>
      <vt:lpstr>기술자!Print_Area</vt:lpstr>
      <vt:lpstr>기술투자!Print_Area</vt:lpstr>
      <vt:lpstr>'도로공항참여(000)'!Print_Area</vt:lpstr>
      <vt:lpstr>'도로공항책임(000)'!Print_Area</vt:lpstr>
      <vt:lpstr>'도시계획참여(000)'!Print_Area</vt:lpstr>
      <vt:lpstr>'도시계획책임(000)'!Print_Area</vt:lpstr>
      <vt:lpstr>배점기준!Print_Area</vt:lpstr>
      <vt:lpstr>부실벌점!Print_Area</vt:lpstr>
      <vt:lpstr>'사업책임기술자(000)'!Print_Area</vt:lpstr>
      <vt:lpstr>사업책임기술자경력!Print_Area</vt:lpstr>
      <vt:lpstr>신용도!Print_Area</vt:lpstr>
      <vt:lpstr>업무중복도!Print_Area</vt:lpstr>
      <vt:lpstr>용역수행성과!Print_Area</vt:lpstr>
      <vt:lpstr>'유사(000)'!Print_Area</vt:lpstr>
      <vt:lpstr>'유사(0001)'!Print_Area</vt:lpstr>
      <vt:lpstr>'유사(0002)'!Print_Area</vt:lpstr>
      <vt:lpstr>유사용역!Print_Area</vt:lpstr>
      <vt:lpstr>전차용역!Print_Area</vt:lpstr>
      <vt:lpstr>'전차용역(기술자)'!Print_Area</vt:lpstr>
      <vt:lpstr>종합!Print_Area</vt:lpstr>
      <vt:lpstr>중첩신고!Print_Area</vt:lpstr>
      <vt:lpstr>참여업체!Print_Area</vt:lpstr>
      <vt:lpstr>'토목구조참여(000)'!Print_Area</vt:lpstr>
      <vt:lpstr>'토목구조책임(000)'!Print_Area</vt:lpstr>
      <vt:lpstr>'토질지질참여(000)'!Print_Area</vt:lpstr>
      <vt:lpstr>'활용(000)'!Print_Area</vt:lpstr>
      <vt:lpstr>'활용(0001)'!Print_Area</vt:lpstr>
      <vt:lpstr>'활용(0002)'!Print_Area</vt:lpstr>
      <vt:lpstr>'개발(0001)'!Print_Titles</vt:lpstr>
      <vt:lpstr>'개발(0002)'!Print_Titles</vt:lpstr>
      <vt:lpstr>교육훈련!Print_Titles</vt:lpstr>
      <vt:lpstr>'도로공항참여(000)'!Print_Titles</vt:lpstr>
      <vt:lpstr>'도시계획참여(000)'!Print_Titles</vt:lpstr>
      <vt:lpstr>'도시계획책임(000)'!Print_Titles</vt:lpstr>
      <vt:lpstr>'유사(000)'!Print_Titles</vt:lpstr>
      <vt:lpstr>'유사(0001)'!Print_Titles</vt:lpstr>
      <vt:lpstr>'유사(0002)'!Print_Titles</vt:lpstr>
      <vt:lpstr>'토목구조참여(000)'!Print_Titles</vt:lpstr>
      <vt:lpstr>'토질지질참여(000)'!Print_Titles</vt:lpstr>
      <vt:lpstr>'활용(000)'!Print_Titles</vt:lpstr>
      <vt:lpstr>'활용(0001)'!Print_Titles</vt:lpstr>
      <vt:lpstr>'활용(0002)'!Print_Titles</vt:lpstr>
      <vt:lpstr>기준</vt:lpstr>
      <vt:lpstr>회사채</vt:lpstr>
    </vt:vector>
  </TitlesOfParts>
  <Company>LH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100101_PQ평가 지침평가표</dc:title>
  <dc:creator>박광민</dc:creator>
  <cp:lastModifiedBy>LH</cp:lastModifiedBy>
  <cp:lastPrinted>2019-12-03T07:27:14Z</cp:lastPrinted>
  <dcterms:created xsi:type="dcterms:W3CDTF">2005-06-07T00:13:25Z</dcterms:created>
  <dcterms:modified xsi:type="dcterms:W3CDTF">2020-04-28T02:21:17Z</dcterms:modified>
</cp:coreProperties>
</file>